
<file path=[Content_Types].xml><?xml version="1.0" encoding="utf-8"?>
<Types xmlns="http://schemas.openxmlformats.org/package/2006/content-types">
  <Override PartName="/xl/charts/chart6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Default Extension="png" ContentType="image/png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695" yWindow="-15" windowWidth="13755" windowHeight="14865"/>
  </bookViews>
  <sheets>
    <sheet name="M&amp;M Data" sheetId="1" r:id="rId1"/>
    <sheet name="M&amp;M Weights" sheetId="2" r:id="rId2"/>
    <sheet name="Green M&amp;Ms" sheetId="3" r:id="rId3"/>
    <sheet name="Descript. Stats." sheetId="4" r:id="rId4"/>
    <sheet name="Weighted Stats" sheetId="5" r:id="rId5"/>
    <sheet name="Permutations and Combinations" sheetId="6" r:id="rId6"/>
    <sheet name="Binomial Distribution" sheetId="7" r:id="rId7"/>
    <sheet name="Normal Dist." sheetId="8" r:id="rId8"/>
    <sheet name="t-Dist." sheetId="9" r:id="rId9"/>
    <sheet name="Two-Sample" sheetId="10" r:id="rId10"/>
    <sheet name="Correlation &amp; Regression" sheetId="11" r:id="rId11"/>
    <sheet name="Multiple Regression" sheetId="12" r:id="rId12"/>
    <sheet name="Random Numbers" sheetId="13" r:id="rId13"/>
  </sheets>
  <definedNames>
    <definedName name="My_Data">'Descript. Stats.'!$A$3:$A$53</definedName>
    <definedName name="Sample1">'Two-Sample'!$B$3:$B$103</definedName>
    <definedName name="Sample2">'Two-Sample'!$D$3:$D$103</definedName>
    <definedName name="Z_9094556B_1172_42A9_AACE_3CBB4E66E327_.wvu.Cols" localSheetId="6" hidden="1">'Binomial Distribution'!$D:$G</definedName>
  </definedNames>
  <calcPr calcId="124519"/>
  <customWorkbookViews>
    <customWorkbookView name="Charts" guid="{9094556B-1172-42A9-AACE-3CBB4E66E327}" maximized="1" xWindow="1" yWindow="1" windowWidth="1828" windowHeight="988" activeSheetId="7"/>
    <customWorkbookView name="Full" guid="{E0CEE470-0FBC-4B40-B93D-97AD4064B6C8}" maximized="1" xWindow="1" yWindow="1" windowWidth="1828" windowHeight="988" activeSheetId="7"/>
  </customWorkbookViews>
</workbook>
</file>

<file path=xl/calcChain.xml><?xml version="1.0" encoding="utf-8"?>
<calcChain xmlns="http://schemas.openxmlformats.org/spreadsheetml/2006/main">
  <c r="B33" i="11"/>
  <c r="B36" i="2"/>
  <c r="C36"/>
  <c r="D36"/>
  <c r="E36"/>
  <c r="F36"/>
  <c r="A36"/>
  <c r="B81" i="13"/>
  <c r="B80"/>
  <c r="B79"/>
  <c r="B78"/>
  <c r="B77"/>
  <c r="B76"/>
  <c r="B75"/>
  <c r="B74"/>
  <c r="B73"/>
  <c r="B72"/>
  <c r="B64"/>
  <c r="B63"/>
  <c r="B62"/>
  <c r="B61"/>
  <c r="B60"/>
  <c r="B59"/>
  <c r="B58"/>
  <c r="B57"/>
  <c r="B56"/>
  <c r="B55"/>
  <c r="B45"/>
  <c r="B44"/>
  <c r="B43"/>
  <c r="B42"/>
  <c r="B41"/>
  <c r="B40"/>
  <c r="B39"/>
  <c r="B38"/>
  <c r="B37"/>
  <c r="B36"/>
  <c r="B29"/>
  <c r="B28"/>
  <c r="B27"/>
  <c r="B26"/>
  <c r="B25"/>
  <c r="B24"/>
  <c r="B23"/>
  <c r="B22"/>
  <c r="B21"/>
  <c r="B20"/>
  <c r="B12"/>
  <c r="B11"/>
  <c r="B10"/>
  <c r="B9"/>
  <c r="B8"/>
  <c r="B7"/>
  <c r="B6"/>
  <c r="B5"/>
  <c r="B4"/>
  <c r="B3"/>
  <c r="B47" i="11" l="1"/>
  <c r="B46"/>
  <c r="B34"/>
  <c r="C30"/>
  <c r="B30"/>
  <c r="B40" s="1"/>
  <c r="B41" s="1"/>
  <c r="C29"/>
  <c r="B29"/>
  <c r="B54" l="1"/>
  <c r="B39"/>
  <c r="B50"/>
  <c r="B42" l="1"/>
  <c r="B55"/>
  <c r="D113" i="10" l="1"/>
  <c r="B113"/>
  <c r="D109"/>
  <c r="B109"/>
  <c r="Q18" s="1"/>
  <c r="D107"/>
  <c r="D108" s="1"/>
  <c r="R17" s="1"/>
  <c r="B107"/>
  <c r="B108" s="1"/>
  <c r="Q17" s="1"/>
  <c r="D106"/>
  <c r="B106"/>
  <c r="AF57"/>
  <c r="AE57"/>
  <c r="AD57"/>
  <c r="AC57"/>
  <c r="AB57"/>
  <c r="AA57"/>
  <c r="Z57"/>
  <c r="Y57"/>
  <c r="X57"/>
  <c r="W57"/>
  <c r="V57"/>
  <c r="U57"/>
  <c r="T57"/>
  <c r="S57"/>
  <c r="R57"/>
  <c r="Q57"/>
  <c r="AF56"/>
  <c r="AE56"/>
  <c r="AD56"/>
  <c r="AC56"/>
  <c r="AB56"/>
  <c r="AA56"/>
  <c r="Z56"/>
  <c r="Y56"/>
  <c r="X56"/>
  <c r="W56"/>
  <c r="V56"/>
  <c r="U56"/>
  <c r="T56"/>
  <c r="S56"/>
  <c r="R56"/>
  <c r="Q56"/>
  <c r="AF55"/>
  <c r="AE55"/>
  <c r="AD55"/>
  <c r="AC55"/>
  <c r="AB55"/>
  <c r="AA55"/>
  <c r="Z55"/>
  <c r="Y55"/>
  <c r="X55"/>
  <c r="W55"/>
  <c r="V55"/>
  <c r="U55"/>
  <c r="T55"/>
  <c r="S55"/>
  <c r="R55"/>
  <c r="Q55"/>
  <c r="AF54"/>
  <c r="AE54"/>
  <c r="AD54"/>
  <c r="AC54"/>
  <c r="AB54"/>
  <c r="AA54"/>
  <c r="Z54"/>
  <c r="Y54"/>
  <c r="X54"/>
  <c r="W54"/>
  <c r="V54"/>
  <c r="U54"/>
  <c r="T54"/>
  <c r="S54"/>
  <c r="R54"/>
  <c r="Q54"/>
  <c r="AF53"/>
  <c r="AE53"/>
  <c r="AD53"/>
  <c r="AC53"/>
  <c r="AB53"/>
  <c r="AA53"/>
  <c r="Z53"/>
  <c r="Y53"/>
  <c r="X53"/>
  <c r="W53"/>
  <c r="V53"/>
  <c r="U53"/>
  <c r="T53"/>
  <c r="S53"/>
  <c r="R53"/>
  <c r="Q53"/>
  <c r="AF52"/>
  <c r="AE52"/>
  <c r="AD52"/>
  <c r="AC52"/>
  <c r="AB52"/>
  <c r="AA52"/>
  <c r="Z52"/>
  <c r="Y52"/>
  <c r="X52"/>
  <c r="W52"/>
  <c r="V52"/>
  <c r="U52"/>
  <c r="T52"/>
  <c r="S52"/>
  <c r="R52"/>
  <c r="Q52"/>
  <c r="AF51"/>
  <c r="AE51"/>
  <c r="AD51"/>
  <c r="AC51"/>
  <c r="AB51"/>
  <c r="AA51"/>
  <c r="Z51"/>
  <c r="Y51"/>
  <c r="X51"/>
  <c r="W51"/>
  <c r="V51"/>
  <c r="U51"/>
  <c r="T51"/>
  <c r="S51"/>
  <c r="R51"/>
  <c r="Q51"/>
  <c r="AF50"/>
  <c r="AE50"/>
  <c r="AD50"/>
  <c r="AC50"/>
  <c r="AB50"/>
  <c r="AA50"/>
  <c r="Z50"/>
  <c r="Y50"/>
  <c r="X50"/>
  <c r="W50"/>
  <c r="V50"/>
  <c r="U50"/>
  <c r="T50"/>
  <c r="S50"/>
  <c r="R50"/>
  <c r="Q50"/>
  <c r="AF49"/>
  <c r="AE49"/>
  <c r="AD49"/>
  <c r="AC49"/>
  <c r="AB49"/>
  <c r="AA49"/>
  <c r="Z49"/>
  <c r="Y49"/>
  <c r="X49"/>
  <c r="W49"/>
  <c r="V49"/>
  <c r="U49"/>
  <c r="T49"/>
  <c r="S49"/>
  <c r="R49"/>
  <c r="Q49"/>
  <c r="AF48"/>
  <c r="AE48"/>
  <c r="AD48"/>
  <c r="AC48"/>
  <c r="AB48"/>
  <c r="AA48"/>
  <c r="Z48"/>
  <c r="Y48"/>
  <c r="X48"/>
  <c r="W48"/>
  <c r="V48"/>
  <c r="U48"/>
  <c r="T48"/>
  <c r="S48"/>
  <c r="R48"/>
  <c r="Q48"/>
  <c r="AF47"/>
  <c r="AE47"/>
  <c r="AD47"/>
  <c r="AC47"/>
  <c r="AB47"/>
  <c r="AA47"/>
  <c r="Z47"/>
  <c r="Y47"/>
  <c r="X47"/>
  <c r="W47"/>
  <c r="V47"/>
  <c r="U47"/>
  <c r="T47"/>
  <c r="S47"/>
  <c r="R47"/>
  <c r="Q47"/>
  <c r="AF46"/>
  <c r="AE46"/>
  <c r="AD46"/>
  <c r="AC46"/>
  <c r="AB46"/>
  <c r="AA46"/>
  <c r="Z46"/>
  <c r="Y46"/>
  <c r="X46"/>
  <c r="W46"/>
  <c r="V46"/>
  <c r="U46"/>
  <c r="T46"/>
  <c r="S46"/>
  <c r="R46"/>
  <c r="Q46"/>
  <c r="AF45"/>
  <c r="AE45"/>
  <c r="AD45"/>
  <c r="AC45"/>
  <c r="AB45"/>
  <c r="AA45"/>
  <c r="Z45"/>
  <c r="Y45"/>
  <c r="X45"/>
  <c r="W45"/>
  <c r="V45"/>
  <c r="U45"/>
  <c r="T45"/>
  <c r="S45"/>
  <c r="R45"/>
  <c r="Q45"/>
  <c r="AF44"/>
  <c r="AE44"/>
  <c r="AD44"/>
  <c r="AC44"/>
  <c r="AB44"/>
  <c r="AA44"/>
  <c r="Z44"/>
  <c r="Y44"/>
  <c r="X44"/>
  <c r="W44"/>
  <c r="V44"/>
  <c r="U44"/>
  <c r="T44"/>
  <c r="S44"/>
  <c r="R44"/>
  <c r="Q44"/>
  <c r="AF43"/>
  <c r="AE43"/>
  <c r="AD43"/>
  <c r="AC43"/>
  <c r="AB43"/>
  <c r="AA43"/>
  <c r="Z43"/>
  <c r="Y43"/>
  <c r="X43"/>
  <c r="W43"/>
  <c r="V43"/>
  <c r="U43"/>
  <c r="T43"/>
  <c r="S43"/>
  <c r="R43"/>
  <c r="Q43"/>
  <c r="AF42"/>
  <c r="AE42"/>
  <c r="AD42"/>
  <c r="AC42"/>
  <c r="AB42"/>
  <c r="AA42"/>
  <c r="Z42"/>
  <c r="Y42"/>
  <c r="X42"/>
  <c r="W42"/>
  <c r="V42"/>
  <c r="U42"/>
  <c r="T42"/>
  <c r="S42"/>
  <c r="R42"/>
  <c r="Q42"/>
  <c r="AF41"/>
  <c r="AE41"/>
  <c r="AD41"/>
  <c r="AC41"/>
  <c r="AB41"/>
  <c r="AA41"/>
  <c r="Z41"/>
  <c r="Y41"/>
  <c r="X41"/>
  <c r="W41"/>
  <c r="V41"/>
  <c r="U41"/>
  <c r="T41"/>
  <c r="S41"/>
  <c r="R41"/>
  <c r="Q41"/>
  <c r="AF40"/>
  <c r="AE40"/>
  <c r="AD40"/>
  <c r="AC40"/>
  <c r="AB40"/>
  <c r="AA40"/>
  <c r="Z40"/>
  <c r="Y40"/>
  <c r="X40"/>
  <c r="W40"/>
  <c r="V40"/>
  <c r="U40"/>
  <c r="T40"/>
  <c r="S40"/>
  <c r="R40"/>
  <c r="Q40"/>
  <c r="AF39"/>
  <c r="AE39"/>
  <c r="AD39"/>
  <c r="AC39"/>
  <c r="AB39"/>
  <c r="AA39"/>
  <c r="Z39"/>
  <c r="Y39"/>
  <c r="X39"/>
  <c r="W39"/>
  <c r="V39"/>
  <c r="U39"/>
  <c r="T39"/>
  <c r="S39"/>
  <c r="R39"/>
  <c r="Q39"/>
  <c r="AF38"/>
  <c r="AE38"/>
  <c r="AD38"/>
  <c r="AC38"/>
  <c r="AB38"/>
  <c r="AA38"/>
  <c r="Z38"/>
  <c r="Y38"/>
  <c r="X38"/>
  <c r="W38"/>
  <c r="V38"/>
  <c r="U38"/>
  <c r="T38"/>
  <c r="S38"/>
  <c r="R38"/>
  <c r="Q38"/>
  <c r="AF37"/>
  <c r="AE37"/>
  <c r="AD37"/>
  <c r="AC37"/>
  <c r="AB37"/>
  <c r="AA37"/>
  <c r="Z37"/>
  <c r="Y37"/>
  <c r="X37"/>
  <c r="W37"/>
  <c r="V37"/>
  <c r="U37"/>
  <c r="T37"/>
  <c r="S37"/>
  <c r="R37"/>
  <c r="Q37"/>
  <c r="AF36"/>
  <c r="AE36"/>
  <c r="AD36"/>
  <c r="AC36"/>
  <c r="AB36"/>
  <c r="AA36"/>
  <c r="Z36"/>
  <c r="Y36"/>
  <c r="X36"/>
  <c r="W36"/>
  <c r="V36"/>
  <c r="U36"/>
  <c r="T36"/>
  <c r="S36"/>
  <c r="R36"/>
  <c r="Q36"/>
  <c r="AF35"/>
  <c r="AE35"/>
  <c r="AD35"/>
  <c r="AC35"/>
  <c r="AB35"/>
  <c r="AA35"/>
  <c r="Z35"/>
  <c r="Y35"/>
  <c r="X35"/>
  <c r="W35"/>
  <c r="V35"/>
  <c r="U35"/>
  <c r="T35"/>
  <c r="S35"/>
  <c r="R35"/>
  <c r="Q35"/>
  <c r="AF34"/>
  <c r="AE34"/>
  <c r="AD34"/>
  <c r="AC34"/>
  <c r="AB34"/>
  <c r="AA34"/>
  <c r="Z34"/>
  <c r="Y34"/>
  <c r="X34"/>
  <c r="W34"/>
  <c r="V34"/>
  <c r="U34"/>
  <c r="T34"/>
  <c r="S34"/>
  <c r="R34"/>
  <c r="Q34"/>
  <c r="AF33"/>
  <c r="AE33"/>
  <c r="AD33"/>
  <c r="AC33"/>
  <c r="AB33"/>
  <c r="AA33"/>
  <c r="Z33"/>
  <c r="Y33"/>
  <c r="X33"/>
  <c r="W33"/>
  <c r="V33"/>
  <c r="U33"/>
  <c r="T33"/>
  <c r="S33"/>
  <c r="R33"/>
  <c r="Q33"/>
  <c r="AF32"/>
  <c r="AE32"/>
  <c r="AD32"/>
  <c r="AC32"/>
  <c r="AB32"/>
  <c r="AA32"/>
  <c r="Z32"/>
  <c r="Y32"/>
  <c r="X32"/>
  <c r="W32"/>
  <c r="V32"/>
  <c r="U32"/>
  <c r="T32"/>
  <c r="S32"/>
  <c r="R32"/>
  <c r="Q32"/>
  <c r="AF31"/>
  <c r="AE31"/>
  <c r="AD31"/>
  <c r="AC31"/>
  <c r="AB31"/>
  <c r="AA31"/>
  <c r="Z31"/>
  <c r="Y31"/>
  <c r="X31"/>
  <c r="W31"/>
  <c r="V31"/>
  <c r="U31"/>
  <c r="T31"/>
  <c r="S31"/>
  <c r="R31"/>
  <c r="Q31"/>
  <c r="AF30"/>
  <c r="AE30"/>
  <c r="AD30"/>
  <c r="AC30"/>
  <c r="AB30"/>
  <c r="AA30"/>
  <c r="Z30"/>
  <c r="Y30"/>
  <c r="X30"/>
  <c r="W30"/>
  <c r="V30"/>
  <c r="U30"/>
  <c r="T30"/>
  <c r="S30"/>
  <c r="R30"/>
  <c r="Q30"/>
  <c r="AF29"/>
  <c r="AE29"/>
  <c r="AD29"/>
  <c r="AC29"/>
  <c r="AB29"/>
  <c r="AA29"/>
  <c r="Z29"/>
  <c r="Y29"/>
  <c r="X29"/>
  <c r="W29"/>
  <c r="V29"/>
  <c r="U29"/>
  <c r="T29"/>
  <c r="S29"/>
  <c r="R29"/>
  <c r="Q29"/>
  <c r="AF28"/>
  <c r="AE28"/>
  <c r="R18"/>
  <c r="Q19" l="1"/>
  <c r="Q21" s="1"/>
  <c r="H11" i="9"/>
  <c r="M79"/>
  <c r="L79"/>
  <c r="K79"/>
  <c r="J79"/>
  <c r="I79"/>
  <c r="H79"/>
  <c r="M78"/>
  <c r="L78"/>
  <c r="K78"/>
  <c r="J78"/>
  <c r="I78"/>
  <c r="H78"/>
  <c r="M77"/>
  <c r="L77"/>
  <c r="K77"/>
  <c r="J77"/>
  <c r="I77"/>
  <c r="H77"/>
  <c r="M76"/>
  <c r="L76"/>
  <c r="K76"/>
  <c r="J76"/>
  <c r="I76"/>
  <c r="H76"/>
  <c r="M75"/>
  <c r="L75"/>
  <c r="K75"/>
  <c r="J75"/>
  <c r="I75"/>
  <c r="H75"/>
  <c r="M74"/>
  <c r="L74"/>
  <c r="K74"/>
  <c r="J74"/>
  <c r="I74"/>
  <c r="H74"/>
  <c r="M73"/>
  <c r="L73"/>
  <c r="K73"/>
  <c r="J73"/>
  <c r="I73"/>
  <c r="H73"/>
  <c r="M72"/>
  <c r="L72"/>
  <c r="K72"/>
  <c r="J72"/>
  <c r="I72"/>
  <c r="H72"/>
  <c r="M71"/>
  <c r="L71"/>
  <c r="K71"/>
  <c r="J71"/>
  <c r="I71"/>
  <c r="H71"/>
  <c r="M70"/>
  <c r="L70"/>
  <c r="K70"/>
  <c r="J70"/>
  <c r="I70"/>
  <c r="H70"/>
  <c r="M69"/>
  <c r="L69"/>
  <c r="K69"/>
  <c r="J69"/>
  <c r="I69"/>
  <c r="H69"/>
  <c r="M68"/>
  <c r="L68"/>
  <c r="K68"/>
  <c r="J68"/>
  <c r="I68"/>
  <c r="H68"/>
  <c r="M67"/>
  <c r="L67"/>
  <c r="K67"/>
  <c r="J67"/>
  <c r="I67"/>
  <c r="H67"/>
  <c r="M66"/>
  <c r="L66"/>
  <c r="K66"/>
  <c r="J66"/>
  <c r="I66"/>
  <c r="H66"/>
  <c r="M65"/>
  <c r="L65"/>
  <c r="K65"/>
  <c r="J65"/>
  <c r="I65"/>
  <c r="H65"/>
  <c r="M64"/>
  <c r="L64"/>
  <c r="K64"/>
  <c r="J64"/>
  <c r="I64"/>
  <c r="H64"/>
  <c r="M63"/>
  <c r="L63"/>
  <c r="K63"/>
  <c r="J63"/>
  <c r="I63"/>
  <c r="H63"/>
  <c r="M62"/>
  <c r="L62"/>
  <c r="K62"/>
  <c r="J62"/>
  <c r="I62"/>
  <c r="H62"/>
  <c r="M61"/>
  <c r="L61"/>
  <c r="K61"/>
  <c r="J61"/>
  <c r="I61"/>
  <c r="H61"/>
  <c r="M60"/>
  <c r="L60"/>
  <c r="K60"/>
  <c r="J60"/>
  <c r="I60"/>
  <c r="H60"/>
  <c r="M59"/>
  <c r="L59"/>
  <c r="K59"/>
  <c r="J59"/>
  <c r="I59"/>
  <c r="H59"/>
  <c r="M58"/>
  <c r="L58"/>
  <c r="K58"/>
  <c r="J58"/>
  <c r="I58"/>
  <c r="H58"/>
  <c r="M57"/>
  <c r="L57"/>
  <c r="K57"/>
  <c r="J57"/>
  <c r="I57"/>
  <c r="H57"/>
  <c r="M56"/>
  <c r="L56"/>
  <c r="K56"/>
  <c r="J56"/>
  <c r="I56"/>
  <c r="H56"/>
  <c r="M55"/>
  <c r="L55"/>
  <c r="K55"/>
  <c r="J55"/>
  <c r="I55"/>
  <c r="H55"/>
  <c r="M54"/>
  <c r="L54"/>
  <c r="K54"/>
  <c r="J54"/>
  <c r="I54"/>
  <c r="H54"/>
  <c r="M53"/>
  <c r="L53"/>
  <c r="K53"/>
  <c r="J53"/>
  <c r="I53"/>
  <c r="H53"/>
  <c r="M52"/>
  <c r="L52"/>
  <c r="K52"/>
  <c r="J52"/>
  <c r="I52"/>
  <c r="H52"/>
  <c r="M51"/>
  <c r="L51"/>
  <c r="K51"/>
  <c r="J51"/>
  <c r="I51"/>
  <c r="H51"/>
  <c r="M50"/>
  <c r="L50"/>
  <c r="K50"/>
  <c r="J50"/>
  <c r="I50"/>
  <c r="H50"/>
  <c r="M49"/>
  <c r="L49"/>
  <c r="K49"/>
  <c r="J49"/>
  <c r="I49"/>
  <c r="H49"/>
  <c r="M48"/>
  <c r="L48"/>
  <c r="K48"/>
  <c r="J48"/>
  <c r="I48"/>
  <c r="H48"/>
  <c r="M47"/>
  <c r="L47"/>
  <c r="K47"/>
  <c r="J47"/>
  <c r="I47"/>
  <c r="H47"/>
  <c r="M46"/>
  <c r="L46"/>
  <c r="K46"/>
  <c r="J46"/>
  <c r="I46"/>
  <c r="H46"/>
  <c r="M45"/>
  <c r="L45"/>
  <c r="K45"/>
  <c r="J45"/>
  <c r="I45"/>
  <c r="H45"/>
  <c r="M44"/>
  <c r="L44"/>
  <c r="K44"/>
  <c r="J44"/>
  <c r="I44"/>
  <c r="H44"/>
  <c r="M43"/>
  <c r="L43"/>
  <c r="K43"/>
  <c r="J43"/>
  <c r="I43"/>
  <c r="H43"/>
  <c r="M42"/>
  <c r="L42"/>
  <c r="K42"/>
  <c r="J42"/>
  <c r="I42"/>
  <c r="H42"/>
  <c r="M41"/>
  <c r="L41"/>
  <c r="K41"/>
  <c r="J41"/>
  <c r="I41"/>
  <c r="H41"/>
  <c r="M40"/>
  <c r="L40"/>
  <c r="K40"/>
  <c r="J40"/>
  <c r="I40"/>
  <c r="H40"/>
  <c r="M39"/>
  <c r="L39"/>
  <c r="K39"/>
  <c r="J39"/>
  <c r="I39"/>
  <c r="H39"/>
  <c r="M38"/>
  <c r="L38"/>
  <c r="K38"/>
  <c r="J38"/>
  <c r="I38"/>
  <c r="H38"/>
  <c r="M37"/>
  <c r="L37"/>
  <c r="K37"/>
  <c r="J37"/>
  <c r="I37"/>
  <c r="H37"/>
  <c r="M36"/>
  <c r="L36"/>
  <c r="K36"/>
  <c r="J36"/>
  <c r="I36"/>
  <c r="H36"/>
  <c r="M35"/>
  <c r="L35"/>
  <c r="K35"/>
  <c r="J35"/>
  <c r="I35"/>
  <c r="H35"/>
  <c r="M34"/>
  <c r="L34"/>
  <c r="K34"/>
  <c r="J34"/>
  <c r="I34"/>
  <c r="H34"/>
  <c r="M33"/>
  <c r="L33"/>
  <c r="K33"/>
  <c r="J33"/>
  <c r="I33"/>
  <c r="H33"/>
  <c r="M32"/>
  <c r="L32"/>
  <c r="K32"/>
  <c r="J32"/>
  <c r="I32"/>
  <c r="H32"/>
  <c r="M31"/>
  <c r="L31"/>
  <c r="K31"/>
  <c r="J31"/>
  <c r="I31"/>
  <c r="H31"/>
  <c r="M30"/>
  <c r="L30"/>
  <c r="K30"/>
  <c r="J30"/>
  <c r="I30"/>
  <c r="H30"/>
  <c r="M29"/>
  <c r="L29"/>
  <c r="K29"/>
  <c r="J29"/>
  <c r="I29"/>
  <c r="H29"/>
  <c r="M28"/>
  <c r="L28"/>
  <c r="K28"/>
  <c r="J28"/>
  <c r="I28"/>
  <c r="H28"/>
  <c r="M27"/>
  <c r="L27"/>
  <c r="K27"/>
  <c r="J27"/>
  <c r="I27"/>
  <c r="H27"/>
  <c r="M26"/>
  <c r="L26"/>
  <c r="K26"/>
  <c r="J26"/>
  <c r="I26"/>
  <c r="H26"/>
  <c r="M25"/>
  <c r="L25"/>
  <c r="K25"/>
  <c r="J25"/>
  <c r="I25"/>
  <c r="H25"/>
  <c r="M24"/>
  <c r="L24"/>
  <c r="K24"/>
  <c r="J24"/>
  <c r="I24"/>
  <c r="H24"/>
  <c r="M23"/>
  <c r="L23"/>
  <c r="K23"/>
  <c r="J23"/>
  <c r="I23"/>
  <c r="H23"/>
  <c r="M22"/>
  <c r="L22"/>
  <c r="K22"/>
  <c r="J22"/>
  <c r="I22"/>
  <c r="H22"/>
  <c r="M21"/>
  <c r="L21"/>
  <c r="K21"/>
  <c r="J21"/>
  <c r="I21"/>
  <c r="H21"/>
  <c r="M20"/>
  <c r="L20"/>
  <c r="K20"/>
  <c r="J20"/>
  <c r="I20"/>
  <c r="H20"/>
  <c r="M19"/>
  <c r="L19"/>
  <c r="K19"/>
  <c r="J19"/>
  <c r="I19"/>
  <c r="H19"/>
  <c r="M18"/>
  <c r="L18"/>
  <c r="K18"/>
  <c r="J18"/>
  <c r="I18"/>
  <c r="H18"/>
  <c r="M17"/>
  <c r="L17"/>
  <c r="K17"/>
  <c r="J17"/>
  <c r="I17"/>
  <c r="H17"/>
  <c r="M16"/>
  <c r="L16"/>
  <c r="K16"/>
  <c r="J16"/>
  <c r="I16"/>
  <c r="H16"/>
  <c r="M15"/>
  <c r="L15"/>
  <c r="K15"/>
  <c r="J15"/>
  <c r="I15"/>
  <c r="H15"/>
  <c r="M14"/>
  <c r="L14"/>
  <c r="K14"/>
  <c r="J14"/>
  <c r="I14"/>
  <c r="H14"/>
  <c r="M13"/>
  <c r="L13"/>
  <c r="K13"/>
  <c r="J13"/>
  <c r="I13"/>
  <c r="H13"/>
  <c r="M12"/>
  <c r="L12"/>
  <c r="K12"/>
  <c r="J12"/>
  <c r="I12"/>
  <c r="H12"/>
  <c r="B12"/>
  <c r="M11"/>
  <c r="L11"/>
  <c r="K11"/>
  <c r="J11"/>
  <c r="I11"/>
  <c r="M10"/>
  <c r="L10"/>
  <c r="K10"/>
  <c r="J10"/>
  <c r="I10"/>
  <c r="H10"/>
  <c r="C10"/>
  <c r="C6"/>
  <c r="C12" s="1"/>
  <c r="AA73" i="8"/>
  <c r="AA72"/>
  <c r="AA71"/>
  <c r="AA70"/>
  <c r="AA69"/>
  <c r="AA68"/>
  <c r="AA67"/>
  <c r="AA66"/>
  <c r="AA65"/>
  <c r="AA64"/>
  <c r="AA63"/>
  <c r="AA62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U35"/>
  <c r="T35"/>
  <c r="S35"/>
  <c r="R35"/>
  <c r="Q35"/>
  <c r="P35"/>
  <c r="O35"/>
  <c r="N35"/>
  <c r="M35"/>
  <c r="L35"/>
  <c r="AA34"/>
  <c r="U34"/>
  <c r="T34"/>
  <c r="S34"/>
  <c r="R34"/>
  <c r="Q34"/>
  <c r="P34"/>
  <c r="O34"/>
  <c r="N34"/>
  <c r="M34"/>
  <c r="L34"/>
  <c r="AA33"/>
  <c r="U33"/>
  <c r="T33"/>
  <c r="S33"/>
  <c r="R33"/>
  <c r="Q33"/>
  <c r="P33"/>
  <c r="O33"/>
  <c r="N33"/>
  <c r="M33"/>
  <c r="L33"/>
  <c r="AA32"/>
  <c r="U32"/>
  <c r="T32"/>
  <c r="S32"/>
  <c r="R32"/>
  <c r="Q32"/>
  <c r="P32"/>
  <c r="O32"/>
  <c r="N32"/>
  <c r="M32"/>
  <c r="L32"/>
  <c r="AA31"/>
  <c r="U31"/>
  <c r="T31"/>
  <c r="S31"/>
  <c r="R31"/>
  <c r="Q31"/>
  <c r="P31"/>
  <c r="O31"/>
  <c r="N31"/>
  <c r="M31"/>
  <c r="L31"/>
  <c r="AA30"/>
  <c r="U30"/>
  <c r="T30"/>
  <c r="S30"/>
  <c r="R30"/>
  <c r="Q30"/>
  <c r="P30"/>
  <c r="O30"/>
  <c r="N30"/>
  <c r="M30"/>
  <c r="L30"/>
  <c r="AA29"/>
  <c r="U29"/>
  <c r="T29"/>
  <c r="S29"/>
  <c r="R29"/>
  <c r="Q29"/>
  <c r="P29"/>
  <c r="O29"/>
  <c r="N29"/>
  <c r="M29"/>
  <c r="L29"/>
  <c r="AA28"/>
  <c r="U28"/>
  <c r="T28"/>
  <c r="S28"/>
  <c r="R28"/>
  <c r="Q28"/>
  <c r="P28"/>
  <c r="O28"/>
  <c r="N28"/>
  <c r="M28"/>
  <c r="L28"/>
  <c r="AA27"/>
  <c r="U27"/>
  <c r="T27"/>
  <c r="S27"/>
  <c r="R27"/>
  <c r="Q27"/>
  <c r="P27"/>
  <c r="O27"/>
  <c r="N27"/>
  <c r="M27"/>
  <c r="L27"/>
  <c r="AA26"/>
  <c r="U26"/>
  <c r="T26"/>
  <c r="S26"/>
  <c r="R26"/>
  <c r="Q26"/>
  <c r="P26"/>
  <c r="O26"/>
  <c r="N26"/>
  <c r="M26"/>
  <c r="L26"/>
  <c r="AA25"/>
  <c r="U25"/>
  <c r="T25"/>
  <c r="S25"/>
  <c r="R25"/>
  <c r="Q25"/>
  <c r="P25"/>
  <c r="O25"/>
  <c r="N25"/>
  <c r="M25"/>
  <c r="L25"/>
  <c r="AA24"/>
  <c r="U24"/>
  <c r="T24"/>
  <c r="S24"/>
  <c r="R24"/>
  <c r="Q24"/>
  <c r="P24"/>
  <c r="O24"/>
  <c r="N24"/>
  <c r="M24"/>
  <c r="L24"/>
  <c r="AA23"/>
  <c r="U23"/>
  <c r="T23"/>
  <c r="S23"/>
  <c r="R23"/>
  <c r="Q23"/>
  <c r="P23"/>
  <c r="O23"/>
  <c r="N23"/>
  <c r="M23"/>
  <c r="L23"/>
  <c r="AA22"/>
  <c r="U22"/>
  <c r="T22"/>
  <c r="S22"/>
  <c r="R22"/>
  <c r="Q22"/>
  <c r="P22"/>
  <c r="O22"/>
  <c r="N22"/>
  <c r="M22"/>
  <c r="L22"/>
  <c r="AA21"/>
  <c r="U21"/>
  <c r="T21"/>
  <c r="S21"/>
  <c r="R21"/>
  <c r="Q21"/>
  <c r="P21"/>
  <c r="O21"/>
  <c r="N21"/>
  <c r="M21"/>
  <c r="L21"/>
  <c r="AA20"/>
  <c r="U20"/>
  <c r="T20"/>
  <c r="S20"/>
  <c r="R20"/>
  <c r="Q20"/>
  <c r="P20"/>
  <c r="O20"/>
  <c r="N20"/>
  <c r="M20"/>
  <c r="L20"/>
  <c r="AA19"/>
  <c r="U19"/>
  <c r="T19"/>
  <c r="S19"/>
  <c r="R19"/>
  <c r="Q19"/>
  <c r="P19"/>
  <c r="O19"/>
  <c r="N19"/>
  <c r="M19"/>
  <c r="L19"/>
  <c r="AA18"/>
  <c r="U18"/>
  <c r="T18"/>
  <c r="S18"/>
  <c r="R18"/>
  <c r="Q18"/>
  <c r="P18"/>
  <c r="O18"/>
  <c r="N18"/>
  <c r="M18"/>
  <c r="L18"/>
  <c r="AA17"/>
  <c r="U17"/>
  <c r="T17"/>
  <c r="S17"/>
  <c r="R17"/>
  <c r="Q17"/>
  <c r="P17"/>
  <c r="O17"/>
  <c r="N17"/>
  <c r="M17"/>
  <c r="L17"/>
  <c r="AA16"/>
  <c r="U16"/>
  <c r="T16"/>
  <c r="S16"/>
  <c r="R16"/>
  <c r="Q16"/>
  <c r="P16"/>
  <c r="O16"/>
  <c r="N16"/>
  <c r="M16"/>
  <c r="L16"/>
  <c r="I16"/>
  <c r="H16"/>
  <c r="G16"/>
  <c r="F16"/>
  <c r="D16"/>
  <c r="B16"/>
  <c r="AA15"/>
  <c r="U15"/>
  <c r="T15"/>
  <c r="S15"/>
  <c r="R15"/>
  <c r="Q15"/>
  <c r="P15"/>
  <c r="O15"/>
  <c r="N15"/>
  <c r="M15"/>
  <c r="L15"/>
  <c r="I15"/>
  <c r="H15"/>
  <c r="G15"/>
  <c r="F15"/>
  <c r="D15"/>
  <c r="B15"/>
  <c r="AA14"/>
  <c r="U14"/>
  <c r="T14"/>
  <c r="S14"/>
  <c r="R14"/>
  <c r="Q14"/>
  <c r="P14"/>
  <c r="O14"/>
  <c r="N14"/>
  <c r="M14"/>
  <c r="L14"/>
  <c r="AA13"/>
  <c r="U13"/>
  <c r="T13"/>
  <c r="S13"/>
  <c r="R13"/>
  <c r="Q13"/>
  <c r="P13"/>
  <c r="O13"/>
  <c r="N13"/>
  <c r="M13"/>
  <c r="L13"/>
  <c r="F13"/>
  <c r="B13"/>
  <c r="U12"/>
  <c r="T12"/>
  <c r="S12"/>
  <c r="R12"/>
  <c r="Q12"/>
  <c r="P12"/>
  <c r="O12"/>
  <c r="N12"/>
  <c r="M12"/>
  <c r="L12"/>
  <c r="U11"/>
  <c r="T11"/>
  <c r="S11"/>
  <c r="R11"/>
  <c r="Q11"/>
  <c r="P11"/>
  <c r="O11"/>
  <c r="N11"/>
  <c r="M11"/>
  <c r="L11"/>
  <c r="U10"/>
  <c r="T10"/>
  <c r="S10"/>
  <c r="R10"/>
  <c r="Q10"/>
  <c r="P10"/>
  <c r="O10"/>
  <c r="N10"/>
  <c r="M10"/>
  <c r="L10"/>
  <c r="I10"/>
  <c r="U9"/>
  <c r="T9"/>
  <c r="S9"/>
  <c r="R9"/>
  <c r="Q9"/>
  <c r="P9"/>
  <c r="O9"/>
  <c r="N9"/>
  <c r="M9"/>
  <c r="L9"/>
  <c r="H9"/>
  <c r="H8" s="1"/>
  <c r="D9"/>
  <c r="U8"/>
  <c r="T8"/>
  <c r="S8"/>
  <c r="R8"/>
  <c r="Q8"/>
  <c r="P8"/>
  <c r="O8"/>
  <c r="N8"/>
  <c r="M8"/>
  <c r="L8"/>
  <c r="I8"/>
  <c r="G8"/>
  <c r="D8"/>
  <c r="C8"/>
  <c r="W8"/>
  <c r="W15"/>
  <c r="W11"/>
  <c r="W9"/>
  <c r="W12"/>
  <c r="W10"/>
  <c r="W13"/>
  <c r="W16"/>
  <c r="W14"/>
  <c r="B8" i="9" l="1"/>
  <c r="B10" s="1"/>
  <c r="C9"/>
  <c r="Z9" i="8"/>
  <c r="Z7"/>
  <c r="Z8"/>
  <c r="C16"/>
  <c r="U7"/>
  <c r="T7"/>
  <c r="S7"/>
  <c r="R7"/>
  <c r="Q7"/>
  <c r="P7"/>
  <c r="O7"/>
  <c r="N7"/>
  <c r="M7"/>
  <c r="L7"/>
  <c r="I7"/>
  <c r="H7"/>
  <c r="G7"/>
  <c r="G13" s="1"/>
  <c r="D7"/>
  <c r="C7"/>
  <c r="C15" s="1"/>
  <c r="Z6"/>
  <c r="U6"/>
  <c r="T6"/>
  <c r="S6"/>
  <c r="R6"/>
  <c r="Q6"/>
  <c r="P6"/>
  <c r="O6"/>
  <c r="N6"/>
  <c r="M6"/>
  <c r="L6"/>
  <c r="U5"/>
  <c r="T5"/>
  <c r="S5"/>
  <c r="R5"/>
  <c r="Q5"/>
  <c r="P5"/>
  <c r="O5"/>
  <c r="N5"/>
  <c r="M5"/>
  <c r="L5"/>
  <c r="Z4"/>
  <c r="W4"/>
  <c r="Z3"/>
  <c r="W7"/>
  <c r="B9" i="9" l="1"/>
  <c r="AB34" i="8"/>
  <c r="AB18"/>
  <c r="AB29"/>
  <c r="AB61"/>
  <c r="AB14"/>
  <c r="AB45"/>
  <c r="AB66"/>
  <c r="AB50"/>
  <c r="AB21"/>
  <c r="AB37"/>
  <c r="AB53"/>
  <c r="AB69"/>
  <c r="AB26"/>
  <c r="AB42"/>
  <c r="AB58"/>
  <c r="AB72"/>
  <c r="AB17"/>
  <c r="AB25"/>
  <c r="AB33"/>
  <c r="AB41"/>
  <c r="AB49"/>
  <c r="AB57"/>
  <c r="AB65"/>
  <c r="AB73"/>
  <c r="AB22"/>
  <c r="AB30"/>
  <c r="AB38"/>
  <c r="AB46"/>
  <c r="AB54"/>
  <c r="AB62"/>
  <c r="AB70"/>
  <c r="AB13"/>
  <c r="AB15"/>
  <c r="AB19"/>
  <c r="AB23"/>
  <c r="AB27"/>
  <c r="AB31"/>
  <c r="AB35"/>
  <c r="AB39"/>
  <c r="AB43"/>
  <c r="AB47"/>
  <c r="AB51"/>
  <c r="AB55"/>
  <c r="AB59"/>
  <c r="AB63"/>
  <c r="AB67"/>
  <c r="AB71"/>
  <c r="AB16"/>
  <c r="AB20"/>
  <c r="AB24"/>
  <c r="AB28"/>
  <c r="AB32"/>
  <c r="AB36"/>
  <c r="AB40"/>
  <c r="AB44"/>
  <c r="AB48"/>
  <c r="AB52"/>
  <c r="AB56"/>
  <c r="AB60"/>
  <c r="AB64"/>
  <c r="AB68"/>
  <c r="Z5"/>
  <c r="C13"/>
  <c r="Z72"/>
  <c r="Z70"/>
  <c r="Z68"/>
  <c r="Z66"/>
  <c r="Z64"/>
  <c r="Z62"/>
  <c r="Z60"/>
  <c r="Z58"/>
  <c r="Z56"/>
  <c r="Z54"/>
  <c r="Z52"/>
  <c r="Z50"/>
  <c r="Z48"/>
  <c r="Z46"/>
  <c r="Z44"/>
  <c r="Z42"/>
  <c r="Z40"/>
  <c r="Z38"/>
  <c r="Z36"/>
  <c r="Z34"/>
  <c r="Z32"/>
  <c r="Z30"/>
  <c r="Z28"/>
  <c r="Z26"/>
  <c r="Z24"/>
  <c r="Z22"/>
  <c r="Z20"/>
  <c r="Z18"/>
  <c r="Z16"/>
  <c r="Z73"/>
  <c r="Z71"/>
  <c r="Z69"/>
  <c r="Z67"/>
  <c r="Z65"/>
  <c r="Z63"/>
  <c r="Z61"/>
  <c r="Z59"/>
  <c r="Z57"/>
  <c r="Z55"/>
  <c r="Z53"/>
  <c r="Z51"/>
  <c r="Z49"/>
  <c r="Z47"/>
  <c r="Z45"/>
  <c r="Z43"/>
  <c r="Z41"/>
  <c r="Z39"/>
  <c r="Z37"/>
  <c r="Z35"/>
  <c r="Z33"/>
  <c r="Z31"/>
  <c r="Z29"/>
  <c r="Z27"/>
  <c r="Z25"/>
  <c r="Z23"/>
  <c r="Z21"/>
  <c r="Z19"/>
  <c r="Z17"/>
  <c r="Z15"/>
  <c r="Z14"/>
  <c r="Z13"/>
  <c r="W53" i="7" l="1"/>
  <c r="V53"/>
  <c r="W52"/>
  <c r="V52"/>
  <c r="W51"/>
  <c r="V51"/>
  <c r="W50"/>
  <c r="V50"/>
  <c r="W49"/>
  <c r="V49"/>
  <c r="W48"/>
  <c r="V48"/>
  <c r="W47"/>
  <c r="V47"/>
  <c r="W46"/>
  <c r="V46"/>
  <c r="W45"/>
  <c r="V45"/>
  <c r="W44"/>
  <c r="V44"/>
  <c r="W43"/>
  <c r="V43"/>
  <c r="W42"/>
  <c r="V42"/>
  <c r="W41"/>
  <c r="V41"/>
  <c r="W40"/>
  <c r="V40"/>
  <c r="W39"/>
  <c r="V39"/>
  <c r="W38"/>
  <c r="V38"/>
  <c r="W37"/>
  <c r="V37"/>
  <c r="W36"/>
  <c r="V36"/>
  <c r="W35"/>
  <c r="V35"/>
  <c r="W34"/>
  <c r="V34"/>
  <c r="W33"/>
  <c r="V33"/>
  <c r="W32"/>
  <c r="V32"/>
  <c r="W31"/>
  <c r="V31"/>
  <c r="W30"/>
  <c r="V30"/>
  <c r="W29"/>
  <c r="V29"/>
  <c r="W28"/>
  <c r="V28"/>
  <c r="W27"/>
  <c r="V27"/>
  <c r="W26"/>
  <c r="V26"/>
  <c r="W25"/>
  <c r="V25"/>
  <c r="W24"/>
  <c r="V24"/>
  <c r="W23"/>
  <c r="V23"/>
  <c r="W22"/>
  <c r="V22"/>
  <c r="W21"/>
  <c r="V21"/>
  <c r="W20"/>
  <c r="V20"/>
  <c r="W19"/>
  <c r="V19"/>
  <c r="W18"/>
  <c r="V18"/>
  <c r="W17"/>
  <c r="V17"/>
  <c r="W16"/>
  <c r="V16"/>
  <c r="W15"/>
  <c r="V15"/>
  <c r="W14"/>
  <c r="V14"/>
  <c r="W13"/>
  <c r="V13"/>
  <c r="W12"/>
  <c r="V12"/>
  <c r="W11"/>
  <c r="V11"/>
  <c r="V10"/>
  <c r="W10" s="1"/>
  <c r="V9"/>
  <c r="W9" s="1"/>
  <c r="V8"/>
  <c r="W8" s="1"/>
  <c r="V7"/>
  <c r="W7" s="1"/>
  <c r="V6"/>
  <c r="W6" s="1"/>
  <c r="V5"/>
  <c r="W5" s="1"/>
  <c r="V4"/>
  <c r="W4" s="1"/>
  <c r="V3"/>
  <c r="W3" s="1"/>
  <c r="V2"/>
  <c r="I2" l="1"/>
  <c r="R35" s="1"/>
  <c r="B17"/>
  <c r="B18" s="1"/>
  <c r="B16"/>
  <c r="B13"/>
  <c r="B14" s="1"/>
  <c r="C10"/>
  <c r="B6"/>
  <c r="J5" l="1"/>
  <c r="N5"/>
  <c r="R5"/>
  <c r="K6"/>
  <c r="O6"/>
  <c r="J7"/>
  <c r="I5"/>
  <c r="K5"/>
  <c r="M5"/>
  <c r="O5"/>
  <c r="Q5"/>
  <c r="S5"/>
  <c r="J6"/>
  <c r="L6"/>
  <c r="N6"/>
  <c r="P6"/>
  <c r="R6"/>
  <c r="I7"/>
  <c r="K7"/>
  <c r="M7"/>
  <c r="O7"/>
  <c r="Q7"/>
  <c r="S7"/>
  <c r="J8"/>
  <c r="L8"/>
  <c r="N8"/>
  <c r="P8"/>
  <c r="R8"/>
  <c r="I9"/>
  <c r="K9"/>
  <c r="M9"/>
  <c r="O9"/>
  <c r="Q9"/>
  <c r="S9"/>
  <c r="J10"/>
  <c r="L10"/>
  <c r="N10"/>
  <c r="P10"/>
  <c r="R10"/>
  <c r="I11"/>
  <c r="K11"/>
  <c r="M11"/>
  <c r="O11"/>
  <c r="Q11"/>
  <c r="S11"/>
  <c r="J12"/>
  <c r="L12"/>
  <c r="N12"/>
  <c r="P12"/>
  <c r="R12"/>
  <c r="I13"/>
  <c r="K13"/>
  <c r="M13"/>
  <c r="O13"/>
  <c r="Q13"/>
  <c r="S13"/>
  <c r="J14"/>
  <c r="L14"/>
  <c r="N14"/>
  <c r="P14"/>
  <c r="R14"/>
  <c r="I15"/>
  <c r="K15"/>
  <c r="M15"/>
  <c r="O15"/>
  <c r="Q15"/>
  <c r="S15"/>
  <c r="J16"/>
  <c r="L16"/>
  <c r="N16"/>
  <c r="P16"/>
  <c r="R16"/>
  <c r="I17"/>
  <c r="K17"/>
  <c r="M17"/>
  <c r="O17"/>
  <c r="Q17"/>
  <c r="S17"/>
  <c r="J18"/>
  <c r="L18"/>
  <c r="N18"/>
  <c r="P18"/>
  <c r="R18"/>
  <c r="I19"/>
  <c r="K19"/>
  <c r="M19"/>
  <c r="O19"/>
  <c r="Q19"/>
  <c r="S19"/>
  <c r="J20"/>
  <c r="L20"/>
  <c r="N20"/>
  <c r="P20"/>
  <c r="R20"/>
  <c r="I21"/>
  <c r="K21"/>
  <c r="M21"/>
  <c r="O21"/>
  <c r="Q21"/>
  <c r="S21"/>
  <c r="J22"/>
  <c r="L22"/>
  <c r="N22"/>
  <c r="P22"/>
  <c r="R22"/>
  <c r="I23"/>
  <c r="K23"/>
  <c r="M23"/>
  <c r="O23"/>
  <c r="Q23"/>
  <c r="S23"/>
  <c r="J24"/>
  <c r="L24"/>
  <c r="N24"/>
  <c r="P24"/>
  <c r="R24"/>
  <c r="I25"/>
  <c r="K25"/>
  <c r="M25"/>
  <c r="O25"/>
  <c r="Q25"/>
  <c r="S25"/>
  <c r="J26"/>
  <c r="L26"/>
  <c r="N26"/>
  <c r="P26"/>
  <c r="R26"/>
  <c r="I27"/>
  <c r="K27"/>
  <c r="M27"/>
  <c r="O27"/>
  <c r="Q27"/>
  <c r="S27"/>
  <c r="J28"/>
  <c r="L28"/>
  <c r="N28"/>
  <c r="P28"/>
  <c r="R28"/>
  <c r="I29"/>
  <c r="K29"/>
  <c r="M29"/>
  <c r="O29"/>
  <c r="Q29"/>
  <c r="S29"/>
  <c r="J30"/>
  <c r="L30"/>
  <c r="N30"/>
  <c r="P30"/>
  <c r="R30"/>
  <c r="I31"/>
  <c r="K31"/>
  <c r="M31"/>
  <c r="O31"/>
  <c r="Q31"/>
  <c r="S31"/>
  <c r="J32"/>
  <c r="L32"/>
  <c r="N32"/>
  <c r="P32"/>
  <c r="R32"/>
  <c r="I33"/>
  <c r="K33"/>
  <c r="M33"/>
  <c r="O33"/>
  <c r="Q33"/>
  <c r="S33"/>
  <c r="J34"/>
  <c r="L34"/>
  <c r="N34"/>
  <c r="P34"/>
  <c r="R34"/>
  <c r="I35"/>
  <c r="K35"/>
  <c r="M35"/>
  <c r="O35"/>
  <c r="Q35"/>
  <c r="S35"/>
  <c r="L5"/>
  <c r="P5"/>
  <c r="I6"/>
  <c r="M6"/>
  <c r="Q6"/>
  <c r="S6"/>
  <c r="L7"/>
  <c r="N7"/>
  <c r="P7"/>
  <c r="R7"/>
  <c r="I8"/>
  <c r="K8"/>
  <c r="M8"/>
  <c r="O8"/>
  <c r="Q8"/>
  <c r="S8"/>
  <c r="J9"/>
  <c r="L9"/>
  <c r="N9"/>
  <c r="P9"/>
  <c r="R9"/>
  <c r="I10"/>
  <c r="K10"/>
  <c r="M10"/>
  <c r="O10"/>
  <c r="Q10"/>
  <c r="S10"/>
  <c r="J11"/>
  <c r="L11"/>
  <c r="N11"/>
  <c r="P11"/>
  <c r="R11"/>
  <c r="I12"/>
  <c r="K12"/>
  <c r="M12"/>
  <c r="O12"/>
  <c r="Q12"/>
  <c r="S12"/>
  <c r="J13"/>
  <c r="L13"/>
  <c r="N13"/>
  <c r="P13"/>
  <c r="R13"/>
  <c r="I14"/>
  <c r="K14"/>
  <c r="M14"/>
  <c r="O14"/>
  <c r="Q14"/>
  <c r="S14"/>
  <c r="J15"/>
  <c r="L15"/>
  <c r="N15"/>
  <c r="P15"/>
  <c r="R15"/>
  <c r="I16"/>
  <c r="K16"/>
  <c r="M16"/>
  <c r="O16"/>
  <c r="Q16"/>
  <c r="S16"/>
  <c r="J17"/>
  <c r="L17"/>
  <c r="N17"/>
  <c r="P17"/>
  <c r="R17"/>
  <c r="I18"/>
  <c r="K18"/>
  <c r="M18"/>
  <c r="O18"/>
  <c r="Q18"/>
  <c r="S18"/>
  <c r="J19"/>
  <c r="L19"/>
  <c r="N19"/>
  <c r="P19"/>
  <c r="R19"/>
  <c r="I20"/>
  <c r="K20"/>
  <c r="M20"/>
  <c r="O20"/>
  <c r="Q20"/>
  <c r="S20"/>
  <c r="J21"/>
  <c r="L21"/>
  <c r="N21"/>
  <c r="P21"/>
  <c r="R21"/>
  <c r="I22"/>
  <c r="K22"/>
  <c r="M22"/>
  <c r="O22"/>
  <c r="Q22"/>
  <c r="S22"/>
  <c r="J23"/>
  <c r="L23"/>
  <c r="N23"/>
  <c r="P23"/>
  <c r="R23"/>
  <c r="I24"/>
  <c r="K24"/>
  <c r="M24"/>
  <c r="O24"/>
  <c r="Q24"/>
  <c r="S24"/>
  <c r="J25"/>
  <c r="L25"/>
  <c r="N25"/>
  <c r="P25"/>
  <c r="R25"/>
  <c r="I26"/>
  <c r="K26"/>
  <c r="M26"/>
  <c r="O26"/>
  <c r="Q26"/>
  <c r="S26"/>
  <c r="J27"/>
  <c r="L27"/>
  <c r="N27"/>
  <c r="P27"/>
  <c r="R27"/>
  <c r="I28"/>
  <c r="K28"/>
  <c r="M28"/>
  <c r="O28"/>
  <c r="Q28"/>
  <c r="S28"/>
  <c r="J29"/>
  <c r="L29"/>
  <c r="N29"/>
  <c r="P29"/>
  <c r="R29"/>
  <c r="I30"/>
  <c r="K30"/>
  <c r="M30"/>
  <c r="O30"/>
  <c r="Q30"/>
  <c r="S30"/>
  <c r="J31"/>
  <c r="L31"/>
  <c r="N31"/>
  <c r="P31"/>
  <c r="R31"/>
  <c r="I32"/>
  <c r="K32"/>
  <c r="M32"/>
  <c r="O32"/>
  <c r="Q32"/>
  <c r="S32"/>
  <c r="J33"/>
  <c r="L33"/>
  <c r="N33"/>
  <c r="P33"/>
  <c r="R33"/>
  <c r="I34"/>
  <c r="K34"/>
  <c r="M34"/>
  <c r="O34"/>
  <c r="Q34"/>
  <c r="S34"/>
  <c r="J35"/>
  <c r="L35"/>
  <c r="N35"/>
  <c r="P35"/>
  <c r="B7" i="6" l="1"/>
  <c r="B9"/>
  <c r="B8"/>
  <c r="N53" i="5" l="1"/>
  <c r="F53"/>
  <c r="F52"/>
  <c r="F51"/>
  <c r="F50"/>
  <c r="F49"/>
  <c r="F48"/>
  <c r="F47"/>
  <c r="F46"/>
  <c r="F45"/>
  <c r="F44"/>
  <c r="D37"/>
  <c r="D35"/>
  <c r="L34"/>
  <c r="K35" s="1"/>
  <c r="K34"/>
  <c r="M34" s="1"/>
  <c r="D32"/>
  <c r="D33" s="1"/>
  <c r="E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E24" s="1"/>
  <c r="E25" s="1"/>
  <c r="J21" i="3"/>
  <c r="J22"/>
  <c r="J23"/>
  <c r="J24"/>
  <c r="J25"/>
  <c r="J26"/>
  <c r="J27"/>
  <c r="J28"/>
  <c r="J29"/>
  <c r="J30"/>
  <c r="J31"/>
  <c r="J32"/>
  <c r="J33"/>
  <c r="J34"/>
  <c r="J35"/>
  <c r="J20"/>
  <c r="E14"/>
  <c r="E13"/>
  <c r="E12"/>
  <c r="E11"/>
  <c r="E10"/>
  <c r="E8"/>
  <c r="E7"/>
  <c r="E6"/>
  <c r="E5"/>
  <c r="E4"/>
  <c r="E3"/>
  <c r="E2"/>
  <c r="I20" a="1"/>
  <c r="I20" s="1"/>
  <c r="D15" i="4"/>
  <c r="D14"/>
  <c r="D13"/>
  <c r="D12"/>
  <c r="D11"/>
  <c r="D9"/>
  <c r="D8"/>
  <c r="D7"/>
  <c r="D6"/>
  <c r="D5"/>
  <c r="D4"/>
  <c r="D16" s="1"/>
  <c r="D3"/>
  <c r="L12" i="2"/>
  <c r="L11"/>
  <c r="L10"/>
  <c r="O9"/>
  <c r="L9"/>
  <c r="L8"/>
  <c r="L7"/>
  <c r="L6"/>
  <c r="N4"/>
  <c r="L5"/>
  <c r="L4"/>
  <c r="L3"/>
  <c r="B11" i="1"/>
  <c r="C10"/>
  <c r="C9"/>
  <c r="C8"/>
  <c r="C7"/>
  <c r="C6"/>
  <c r="C5"/>
  <c r="H6" i="5" l="1"/>
  <c r="H8"/>
  <c r="H11"/>
  <c r="H13"/>
  <c r="H17"/>
  <c r="L35"/>
  <c r="K36" s="1"/>
  <c r="H5"/>
  <c r="H7"/>
  <c r="H9"/>
  <c r="H10"/>
  <c r="H12"/>
  <c r="H14"/>
  <c r="H15"/>
  <c r="H16"/>
  <c r="H18"/>
  <c r="H19"/>
  <c r="H20"/>
  <c r="H21"/>
  <c r="H22"/>
  <c r="H4"/>
  <c r="H23" s="1"/>
  <c r="E26" s="1"/>
  <c r="E27" s="1"/>
  <c r="D10" i="4"/>
  <c r="I35" i="3"/>
  <c r="I33"/>
  <c r="I31"/>
  <c r="I29"/>
  <c r="I27"/>
  <c r="I25"/>
  <c r="I23"/>
  <c r="I21"/>
  <c r="I34"/>
  <c r="I32"/>
  <c r="I30"/>
  <c r="I28"/>
  <c r="I26"/>
  <c r="I24"/>
  <c r="I22"/>
  <c r="E9"/>
  <c r="Q9" i="2"/>
  <c r="O10"/>
  <c r="L36" i="5" l="1"/>
  <c r="K37" s="1"/>
  <c r="M36"/>
  <c r="M35"/>
  <c r="O11" i="2"/>
  <c r="Q11" s="1"/>
  <c r="Q10"/>
  <c r="L37" i="5" l="1"/>
  <c r="K38" s="1"/>
  <c r="M37"/>
  <c r="O12" i="2"/>
  <c r="Q12" s="1"/>
  <c r="M38" i="5" l="1"/>
  <c r="L38"/>
  <c r="K39" s="1"/>
  <c r="O13" i="2"/>
  <c r="Q13" s="1"/>
  <c r="L39" i="5" l="1"/>
  <c r="K40" s="1"/>
  <c r="M39"/>
  <c r="Q14" i="2"/>
  <c r="O14"/>
  <c r="L40" i="5" l="1"/>
  <c r="K41" s="1"/>
  <c r="O15" i="2"/>
  <c r="Q15" s="1"/>
  <c r="L41" i="5" l="1"/>
  <c r="K42" s="1"/>
  <c r="M41"/>
  <c r="M40"/>
  <c r="Q16" i="2"/>
  <c r="O16"/>
  <c r="L42" i="5" l="1"/>
  <c r="K43" s="1"/>
  <c r="O17" i="2"/>
  <c r="P8" s="1" a="1"/>
  <c r="Q17" l="1"/>
  <c r="L43" i="5"/>
  <c r="K44" s="1"/>
  <c r="M43"/>
  <c r="M42"/>
  <c r="P17" i="2"/>
  <c r="P15"/>
  <c r="P13"/>
  <c r="P11"/>
  <c r="P9"/>
  <c r="R9" s="1"/>
  <c r="P16"/>
  <c r="P14"/>
  <c r="P12"/>
  <c r="P10"/>
  <c r="P8"/>
  <c r="L44" i="5" l="1"/>
  <c r="K45" s="1"/>
  <c r="M44"/>
  <c r="R10" i="2"/>
  <c r="R11" s="1"/>
  <c r="R12" s="1"/>
  <c r="R13" s="1"/>
  <c r="R14" s="1"/>
  <c r="R15" s="1"/>
  <c r="R16" s="1"/>
  <c r="R17" s="1"/>
  <c r="P18"/>
  <c r="L45" i="5" l="1"/>
  <c r="K46" s="1"/>
  <c r="L46" l="1"/>
  <c r="K47" s="1"/>
  <c r="M46"/>
  <c r="M45"/>
  <c r="L47" l="1"/>
  <c r="K48" s="1"/>
  <c r="M47"/>
  <c r="L48" l="1"/>
  <c r="K49" s="1"/>
  <c r="M48"/>
  <c r="L49" l="1"/>
  <c r="K50" s="1"/>
  <c r="M49"/>
  <c r="L50" l="1"/>
  <c r="K51" s="1"/>
  <c r="M50"/>
  <c r="L51" l="1"/>
  <c r="K52" s="1"/>
  <c r="M51"/>
  <c r="L52" l="1"/>
  <c r="M52"/>
  <c r="N54" s="1"/>
  <c r="N55" s="1"/>
</calcChain>
</file>

<file path=xl/comments1.xml><?xml version="1.0" encoding="utf-8"?>
<comments xmlns="http://schemas.openxmlformats.org/spreadsheetml/2006/main">
  <authors>
    <author>Rick Jerz</author>
  </authors>
  <commentList>
    <comment ref="D13" authorId="0">
      <text>
        <r>
          <rPr>
            <b/>
            <sz val="8"/>
            <color indexed="81"/>
            <rFont val="Tahoma"/>
            <family val="2"/>
          </rPr>
          <t>Rick Jerz:</t>
        </r>
        <r>
          <rPr>
            <sz val="8"/>
            <color indexed="81"/>
            <rFont val="Tahoma"/>
            <family val="2"/>
          </rPr>
          <t xml:space="preserve">
Enter this value between 0 and 100.</t>
        </r>
      </text>
    </comment>
    <comment ref="A15" authorId="0">
      <text>
        <r>
          <rPr>
            <b/>
            <sz val="8"/>
            <color indexed="81"/>
            <rFont val="Tahoma"/>
            <family val="2"/>
          </rPr>
          <t>Rick Jerz:</t>
        </r>
        <r>
          <rPr>
            <sz val="8"/>
            <color indexed="81"/>
            <rFont val="Tahoma"/>
            <family val="2"/>
          </rPr>
          <t xml:space="preserve">
The Z value is then number of standard deviations from the mean.</t>
        </r>
      </text>
    </comment>
  </commentList>
</comments>
</file>

<file path=xl/comments2.xml><?xml version="1.0" encoding="utf-8"?>
<comments xmlns="http://schemas.openxmlformats.org/spreadsheetml/2006/main">
  <authors>
    <author>Rick Jerz</author>
  </authors>
  <commentList>
    <comment ref="D4" authorId="0">
      <text>
        <r>
          <rPr>
            <b/>
            <sz val="8"/>
            <color indexed="81"/>
            <rFont val="Tahoma"/>
            <family val="2"/>
          </rPr>
          <t>Rick Jerz:</t>
        </r>
        <r>
          <rPr>
            <sz val="8"/>
            <color indexed="81"/>
            <rFont val="Tahoma"/>
            <family val="2"/>
          </rPr>
          <t xml:space="preserve">
Must be used with a cell that has an equation.</t>
        </r>
      </text>
    </comment>
    <comment ref="A7" authorId="0">
      <text>
        <r>
          <rPr>
            <b/>
            <sz val="8"/>
            <color indexed="81"/>
            <rFont val="Tahoma"/>
            <family val="2"/>
          </rPr>
          <t>Rick Jerz:</t>
        </r>
        <r>
          <rPr>
            <sz val="8"/>
            <color indexed="81"/>
            <rFont val="Tahoma"/>
            <family val="2"/>
          </rPr>
          <t xml:space="preserve">
This is from our sample.
See p346 example.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Rick Jerz:</t>
        </r>
        <r>
          <rPr>
            <sz val="8"/>
            <color indexed="81"/>
            <rFont val="Tahoma"/>
            <family val="2"/>
          </rPr>
          <t xml:space="preserve">
= t * sigma/sqrt(n)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>Rick Jerz:</t>
        </r>
        <r>
          <rPr>
            <sz val="8"/>
            <color indexed="81"/>
            <rFont val="Tahoma"/>
            <family val="2"/>
          </rPr>
          <t xml:space="preserve">
-mean - error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Rick Jerz:</t>
        </r>
        <r>
          <rPr>
            <sz val="8"/>
            <color indexed="81"/>
            <rFont val="Tahoma"/>
            <family val="2"/>
          </rPr>
          <t xml:space="preserve">
-mean - error</t>
        </r>
      </text>
    </comment>
    <comment ref="B10" authorId="0">
      <text>
        <r>
          <rPr>
            <b/>
            <sz val="8"/>
            <color indexed="81"/>
            <rFont val="Tahoma"/>
            <family val="2"/>
          </rPr>
          <t>Rick Jerz:</t>
        </r>
        <r>
          <rPr>
            <sz val="8"/>
            <color indexed="81"/>
            <rFont val="Tahoma"/>
            <family val="2"/>
          </rPr>
          <t xml:space="preserve">
=mean+error</t>
        </r>
      </text>
    </comment>
    <comment ref="C10" authorId="0">
      <text>
        <r>
          <rPr>
            <b/>
            <sz val="8"/>
            <color indexed="81"/>
            <rFont val="Tahoma"/>
            <family val="2"/>
          </rPr>
          <t>Rick Jerz:</t>
        </r>
        <r>
          <rPr>
            <sz val="8"/>
            <color indexed="81"/>
            <rFont val="Tahoma"/>
            <family val="2"/>
          </rPr>
          <t xml:space="preserve">
=mean+error</t>
        </r>
      </text>
    </comment>
    <comment ref="A11" authorId="0">
      <text>
        <r>
          <rPr>
            <b/>
            <sz val="8"/>
            <color indexed="81"/>
            <rFont val="Tahoma"/>
            <family val="2"/>
          </rPr>
          <t>Rick Jerz:</t>
        </r>
        <r>
          <rPr>
            <sz val="8"/>
            <color indexed="81"/>
            <rFont val="Tahoma"/>
            <family val="2"/>
          </rPr>
          <t xml:space="preserve">
Most frequently 2-tail.</t>
        </r>
      </text>
    </comment>
    <comment ref="B12" authorId="0">
      <text>
        <r>
          <rPr>
            <b/>
            <sz val="8"/>
            <color indexed="81"/>
            <rFont val="Tahoma"/>
            <family val="2"/>
          </rPr>
          <t>Rick Jerz:</t>
        </r>
        <r>
          <rPr>
            <sz val="8"/>
            <color indexed="81"/>
            <rFont val="Tahoma"/>
            <family val="2"/>
          </rPr>
          <t xml:space="preserve">
= (t @ p(x)/tails, df)</t>
        </r>
      </text>
    </comment>
    <comment ref="C12" authorId="0">
      <text>
        <r>
          <rPr>
            <b/>
            <sz val="8"/>
            <color indexed="81"/>
            <rFont val="Tahoma"/>
            <family val="2"/>
          </rPr>
          <t>Rick Jerz:</t>
        </r>
        <r>
          <rPr>
            <sz val="8"/>
            <color indexed="81"/>
            <rFont val="Tahoma"/>
            <family val="2"/>
          </rPr>
          <t xml:space="preserve">
= (t @ p(x)/tails, df)</t>
        </r>
      </text>
    </comment>
  </commentList>
</comments>
</file>

<file path=xl/sharedStrings.xml><?xml version="1.0" encoding="utf-8"?>
<sst xmlns="http://schemas.openxmlformats.org/spreadsheetml/2006/main" count="782" uniqueCount="425">
  <si>
    <t>Rick's M&amp;M data.</t>
  </si>
  <si>
    <t>Sample1</t>
  </si>
  <si>
    <t>Color</t>
  </si>
  <si>
    <t>Count</t>
  </si>
  <si>
    <t>Percent</t>
  </si>
  <si>
    <t>Blue</t>
  </si>
  <si>
    <t>Brown</t>
  </si>
  <si>
    <t>Green</t>
  </si>
  <si>
    <t>Orange</t>
  </si>
  <si>
    <t>Yellow</t>
  </si>
  <si>
    <t>Red</t>
  </si>
  <si>
    <t>Total</t>
  </si>
  <si>
    <t>RED</t>
  </si>
  <si>
    <t>ORANGE</t>
  </si>
  <si>
    <t>YELLOW</t>
  </si>
  <si>
    <t>BROWN</t>
  </si>
  <si>
    <t>BLUE</t>
  </si>
  <si>
    <t>GREEN</t>
  </si>
  <si>
    <t>Copy/Paste</t>
  </si>
  <si>
    <t>k</t>
  </si>
  <si>
    <t>(H-L)/k</t>
  </si>
  <si>
    <t>Use best judgement</t>
  </si>
  <si>
    <t>Midpoint</t>
  </si>
  <si>
    <t>Start</t>
  </si>
  <si>
    <t>Sum</t>
  </si>
  <si>
    <t>Cumulative</t>
  </si>
  <si>
    <t>Nick Ho.</t>
  </si>
  <si>
    <t>Chris L.</t>
  </si>
  <si>
    <t>Jake</t>
  </si>
  <si>
    <t>Jeff</t>
  </si>
  <si>
    <t>Travis</t>
  </si>
  <si>
    <t>Bill</t>
  </si>
  <si>
    <t>Nick P.</t>
  </si>
  <si>
    <t>Kevin</t>
  </si>
  <si>
    <t>Jessie W.</t>
  </si>
  <si>
    <t>Nick He.</t>
  </si>
  <si>
    <t>Matt</t>
  </si>
  <si>
    <t>Matt C.</t>
  </si>
  <si>
    <t>Patrick</t>
  </si>
  <si>
    <t>Tyler</t>
  </si>
  <si>
    <t>Addam</t>
  </si>
  <si>
    <t>Kristin</t>
  </si>
  <si>
    <t>Jessica</t>
  </si>
  <si>
    <t>Michelle</t>
  </si>
  <si>
    <t>Mandy</t>
  </si>
  <si>
    <t>Ryan</t>
  </si>
  <si>
    <t>Chris E.</t>
  </si>
  <si>
    <t>Value</t>
  </si>
  <si>
    <t>Excel Function</t>
  </si>
  <si>
    <t>sum()</t>
  </si>
  <si>
    <t>count()</t>
  </si>
  <si>
    <t>Mean</t>
  </si>
  <si>
    <t>min()</t>
  </si>
  <si>
    <t>Standard Error</t>
  </si>
  <si>
    <t>max()</t>
  </si>
  <si>
    <t>Median</t>
  </si>
  <si>
    <t>average()</t>
  </si>
  <si>
    <t>Mode</t>
  </si>
  <si>
    <t>median()</t>
  </si>
  <si>
    <t>Standard Deviation</t>
  </si>
  <si>
    <t>mode()</t>
  </si>
  <si>
    <t>Sample Variance</t>
  </si>
  <si>
    <t>max()-min()</t>
  </si>
  <si>
    <t>Kurtosis</t>
  </si>
  <si>
    <t>avedev()</t>
  </si>
  <si>
    <t>Skewness</t>
  </si>
  <si>
    <t>stdevp()</t>
  </si>
  <si>
    <t>Range</t>
  </si>
  <si>
    <t>varp()</t>
  </si>
  <si>
    <t>Minimum</t>
  </si>
  <si>
    <t>stdev() , sample</t>
  </si>
  <si>
    <t>Maximum</t>
  </si>
  <si>
    <t>var() , sample</t>
  </si>
  <si>
    <t>Basic Statistics using Excel Functions</t>
  </si>
  <si>
    <t>Basic Statistics using Data Analysis Add-in</t>
  </si>
  <si>
    <t>My_Data</t>
  </si>
  <si>
    <t>Statistic</t>
  </si>
  <si>
    <t>=sum()</t>
  </si>
  <si>
    <t>=count()</t>
  </si>
  <si>
    <t>=min()</t>
  </si>
  <si>
    <t>=max()</t>
  </si>
  <si>
    <t>Average/Mean</t>
  </si>
  <si>
    <t>=average()</t>
  </si>
  <si>
    <t>=median()</t>
  </si>
  <si>
    <t>=mode()</t>
  </si>
  <si>
    <t>=max()-min()</t>
  </si>
  <si>
    <t>Mean Deviation</t>
  </si>
  <si>
    <t>=avedev()</t>
  </si>
  <si>
    <t>Standard Deviation (pop)</t>
  </si>
  <si>
    <t>=stdevp()</t>
  </si>
  <si>
    <t>Variance (pop)</t>
  </si>
  <si>
    <t>=varp()</t>
  </si>
  <si>
    <t>Standard Deviation (Sample)</t>
  </si>
  <si>
    <t>=stdev()</t>
  </si>
  <si>
    <t>Variance (sample)</t>
  </si>
  <si>
    <t>=var()</t>
  </si>
  <si>
    <t>Color key</t>
  </si>
  <si>
    <t>Enter data</t>
  </si>
  <si>
    <t>Calculated value.  Don't touch.</t>
  </si>
  <si>
    <t>Category</t>
  </si>
  <si>
    <t>Quantity</t>
  </si>
  <si>
    <t>Count/bag</t>
  </si>
  <si>
    <t>Who</t>
  </si>
  <si>
    <t>Differences between population and sample</t>
  </si>
  <si>
    <t>Data Analysis Tools</t>
  </si>
  <si>
    <t>Subtle differences between count and counta</t>
  </si>
  <si>
    <t>Reading the chart for percentages</t>
  </si>
  <si>
    <t>Named data ranges</t>
  </si>
  <si>
    <t>Model for Weighted (or Group) Average Calculations</t>
  </si>
  <si>
    <t>Scratch area for variance</t>
  </si>
  <si>
    <t>Lower</t>
  </si>
  <si>
    <t>Upper</t>
  </si>
  <si>
    <t>Relative</t>
  </si>
  <si>
    <t>M-u</t>
  </si>
  <si>
    <t>A</t>
  </si>
  <si>
    <t>B</t>
  </si>
  <si>
    <t>C</t>
  </si>
  <si>
    <t>Total Count</t>
  </si>
  <si>
    <t>Sum of products</t>
  </si>
  <si>
    <r>
      <t>(</t>
    </r>
    <r>
      <rPr>
        <sz val="11"/>
        <color theme="1"/>
        <rFont val="Calibri"/>
        <family val="2"/>
      </rPr>
      <t>←</t>
    </r>
    <r>
      <rPr>
        <sz val="11"/>
        <color theme="1"/>
        <rFont val="Calibri"/>
        <family val="2"/>
        <scheme val="minor"/>
      </rPr>
      <t>this is the SUMPRODUCT function in Excel)</t>
    </r>
  </si>
  <si>
    <t>Weighted Average or mean</t>
  </si>
  <si>
    <t>Weighted sample variance</t>
  </si>
  <si>
    <t>Weighted sample standard deviation</t>
  </si>
  <si>
    <t>Calculating the # of categories and interval widths, with overrides</t>
  </si>
  <si>
    <t>Raw Data</t>
  </si>
  <si>
    <t>Model for Weighted Average Calculations</t>
  </si>
  <si>
    <t>Calculated # of intervals</t>
  </si>
  <si>
    <t>Desired number of intervals</t>
  </si>
  <si>
    <t>Calculated interval width (from book equation)</t>
  </si>
  <si>
    <t>What do you want to use as interval?</t>
  </si>
  <si>
    <t>Minimum data</t>
  </si>
  <si>
    <t>What do you want to use as minimum?</t>
  </si>
  <si>
    <t>Rule for calculating</t>
  </si>
  <si>
    <t># of categories, 2^k</t>
  </si>
  <si>
    <t>#categories</t>
  </si>
  <si>
    <t>(this is the SUMPRODUCT function in Excel)</t>
  </si>
  <si>
    <t>Average</t>
  </si>
  <si>
    <t>Basic statistics</t>
  </si>
  <si>
    <t>Topics</t>
  </si>
  <si>
    <t>Making a chart (Using the Frequency function)</t>
  </si>
  <si>
    <t>Calculated width</t>
  </si>
  <si>
    <t>Best judment widths</t>
  </si>
  <si>
    <t>Equation</t>
  </si>
  <si>
    <t>Caculate Category Width</t>
  </si>
  <si>
    <t>2 to the kth Rule</t>
  </si>
  <si>
    <t>2^K</t>
  </si>
  <si>
    <t>Smart Copy</t>
  </si>
  <si>
    <t>Special Symbols</t>
  </si>
  <si>
    <t>Sumproduct function</t>
  </si>
  <si>
    <t>Permutation and combination calculator</t>
  </si>
  <si>
    <t>Number of items, n</t>
  </si>
  <si>
    <t>Sub-selection, x, r, or m</t>
  </si>
  <si>
    <t>n ^ m (with replication)</t>
  </si>
  <si>
    <t>Permutations</t>
  </si>
  <si>
    <t>Combinations</t>
  </si>
  <si>
    <t>Examples:</t>
  </si>
  <si>
    <t>Cards (52,5), combination</t>
  </si>
  <si>
    <t>Dice (6,6), m * n</t>
  </si>
  <si>
    <t>Note: This is a simple model with only two options</t>
  </si>
  <si>
    <t>Words (10,3), permutation</t>
  </si>
  <si>
    <t>Percentile position</t>
  </si>
  <si>
    <t>=(n+1)*P</t>
  </si>
  <si>
    <r>
      <rPr>
        <sz val="11"/>
        <color theme="1"/>
        <rFont val="Calibri"/>
        <family val="2"/>
      </rPr>
      <t>←</t>
    </r>
    <r>
      <rPr>
        <sz val="11"/>
        <color theme="1"/>
        <rFont val="Calibri"/>
        <family val="2"/>
        <scheme val="minor"/>
      </rPr>
      <t>Percentile of interest (P)</t>
    </r>
  </si>
  <si>
    <t>Binomial Formula</t>
  </si>
  <si>
    <t>Note: no need for a table (see p192) when you have a calculator!</t>
  </si>
  <si>
    <t>Outcomes</t>
  </si>
  <si>
    <t>Event Probability</t>
  </si>
  <si>
    <r>
      <t xml:space="preserve">(success, </t>
    </r>
    <r>
      <rPr>
        <sz val="11"/>
        <color theme="1"/>
        <rFont val="Calibri"/>
        <family val="2"/>
      </rPr>
      <t>π)</t>
    </r>
  </si>
  <si>
    <t>Variables</t>
  </si>
  <si>
    <t>n</t>
  </si>
  <si>
    <t>(total successive tries)</t>
  </si>
  <si>
    <t>x</t>
  </si>
  <si>
    <t>Is Cumulative?</t>
  </si>
  <si>
    <t>(this should be a "Y" or an "N")</t>
  </si>
  <si>
    <t>Probability success</t>
  </si>
  <si>
    <r>
      <t xml:space="preserve">Probability </t>
    </r>
    <r>
      <rPr>
        <b/>
        <sz val="11"/>
        <color rgb="FFFF0000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success</t>
    </r>
  </si>
  <si>
    <t>Variance</t>
  </si>
  <si>
    <t>Std. Dev</t>
  </si>
  <si>
    <t>Key</t>
  </si>
  <si>
    <t>Optional Data</t>
  </si>
  <si>
    <t>Additional Results. Don't touch</t>
  </si>
  <si>
    <t>Reference</t>
  </si>
  <si>
    <t>Table data</t>
  </si>
  <si>
    <t>Binomial Table</t>
  </si>
  <si>
    <t>n=</t>
  </si>
  <si>
    <t>Probability</t>
  </si>
  <si>
    <r>
      <t>x\</t>
    </r>
    <r>
      <rPr>
        <sz val="11"/>
        <color theme="1"/>
        <rFont val="Calibri"/>
        <family val="2"/>
      </rPr>
      <t>π</t>
    </r>
  </si>
  <si>
    <t>=BINOMDIST(B10,B9,B5,IF(UPPER(B11)="Y",1,0))</t>
  </si>
  <si>
    <t>=1-B13</t>
  </si>
  <si>
    <t>Formulas|Show Formulas</t>
  </si>
  <si>
    <t>Conditional Formatting</t>
  </si>
  <si>
    <r>
      <t xml:space="preserve">Event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Probability</t>
    </r>
  </si>
  <si>
    <t># of Successes</t>
  </si>
  <si>
    <t>Scratch Calculations</t>
  </si>
  <si>
    <t>Overlapping bar charts</t>
  </si>
  <si>
    <t>Probability Calculation</t>
  </si>
  <si>
    <t>Possible Topics</t>
  </si>
  <si>
    <t>Custom Views</t>
  </si>
  <si>
    <t>Prob. of Success</t>
  </si>
  <si>
    <t>Areas under the Normal Curve</t>
  </si>
  <si>
    <t>These columns are used to create the graph for the Z-Distribution worksheet.  Don't mess with this unless you know what you are doing.</t>
  </si>
  <si>
    <t>1) Plot which Condition?</t>
  </si>
  <si>
    <t>Input Data</t>
  </si>
  <si>
    <t>Areas under the Normal Curve from Textbook (one side, from mean)</t>
  </si>
  <si>
    <t>μ</t>
  </si>
  <si>
    <t>D</t>
  </si>
  <si>
    <t>E</t>
  </si>
  <si>
    <t>F</t>
  </si>
  <si>
    <t>G</t>
  </si>
  <si>
    <t>z</t>
  </si>
  <si>
    <t>σ</t>
  </si>
  <si>
    <t>2) What do you know?</t>
  </si>
  <si>
    <t>Population</t>
  </si>
  <si>
    <t>Sample (n)</t>
  </si>
  <si>
    <t>Graph</t>
  </si>
  <si>
    <t>min X</t>
  </si>
  <si>
    <t xml:space="preserve">To get the </t>
  </si>
  <si>
    <t>Prob ( +_X)</t>
  </si>
  <si>
    <t>Conf. Interval</t>
  </si>
  <si>
    <t>Sample Size</t>
  </si>
  <si>
    <t>Data</t>
  </si>
  <si>
    <t>max X</t>
  </si>
  <si>
    <t>X1 (μ-X) (lower)</t>
  </si>
  <si>
    <t>Min Z</t>
  </si>
  <si>
    <t>X2 (μ+X) (upper)</t>
  </si>
  <si>
    <t>Max Z</t>
  </si>
  <si>
    <t>±X, or error</t>
  </si>
  <si>
    <t>n/a</t>
  </si>
  <si>
    <t>n (sample size)</t>
  </si>
  <si>
    <t>Mean, μ</t>
  </si>
  <si>
    <t>Z Value</t>
  </si>
  <si>
    <t>P(Z)</t>
  </si>
  <si>
    <t>Area of Interest</t>
  </si>
  <si>
    <t>P(X)</t>
  </si>
  <si>
    <t>1 or 2 tail</t>
  </si>
  <si>
    <t>Calculated lower Z value (X1)</t>
  </si>
  <si>
    <t>Calculated upper Z value (X2)</t>
  </si>
  <si>
    <t>3) Read calculated values (in red)</t>
  </si>
  <si>
    <t>The Various Conditions</t>
  </si>
  <si>
    <t>σ, or s</t>
  </si>
  <si>
    <t>Areas under the Student t Curve</t>
  </si>
  <si>
    <t>2 Possibilities</t>
  </si>
  <si>
    <t>Interval</t>
  </si>
  <si>
    <t>Student's t Distribution (Textbook Table)</t>
  </si>
  <si>
    <t>Goal Seek</t>
  </si>
  <si>
    <t>Confidence Interval, c</t>
  </si>
  <si>
    <t>σ, σ x, or s</t>
  </si>
  <si>
    <t>df</t>
  </si>
  <si>
    <r>
      <t xml:space="preserve">Level of Significance for one-tailed test, </t>
    </r>
    <r>
      <rPr>
        <sz val="10"/>
        <rFont val="Arial"/>
        <family val="2"/>
      </rPr>
      <t>α</t>
    </r>
  </si>
  <si>
    <r>
      <t xml:space="preserve">Level of Significance for two-tailed test, </t>
    </r>
    <r>
      <rPr>
        <sz val="10"/>
        <rFont val="Arial"/>
        <family val="2"/>
      </rPr>
      <t>α</t>
    </r>
  </si>
  <si>
    <t>X1 (μ-X)</t>
  </si>
  <si>
    <t>X2 (μ+X)</t>
  </si>
  <si>
    <t>Calculated t value</t>
  </si>
  <si>
    <t>Calculate this.  Don't touch.</t>
  </si>
  <si>
    <t>Additional Results, don't touch</t>
  </si>
  <si>
    <t>Testing hypothesis about two independent samples</t>
  </si>
  <si>
    <t>Use "Data Analysis" add-in.</t>
  </si>
  <si>
    <t>(note, "sample1" and "sample2" are defined range names.)</t>
  </si>
  <si>
    <t>Label1</t>
  </si>
  <si>
    <t>Label2</t>
  </si>
  <si>
    <t>Sample2</t>
  </si>
  <si>
    <t>1) Are the population variances known?  If YES, then use this z-Test Data Analysis tool</t>
  </si>
  <si>
    <t>a</t>
  </si>
  <si>
    <r>
      <t xml:space="preserve">Use z-Test: Two Sample for Means, Pop </t>
    </r>
    <r>
      <rPr>
        <sz val="11"/>
        <color theme="1"/>
        <rFont val="Calibri"/>
        <family val="2"/>
      </rPr>
      <t xml:space="preserve">σ </t>
    </r>
    <r>
      <rPr>
        <sz val="11"/>
        <color theme="1"/>
        <rFont val="Calibri"/>
        <family val="2"/>
        <scheme val="minor"/>
      </rPr>
      <t>Known</t>
    </r>
  </si>
  <si>
    <t>b</t>
  </si>
  <si>
    <r>
      <t>Is P(Z) &lt; P(</t>
    </r>
    <r>
      <rPr>
        <sz val="11"/>
        <color theme="1"/>
        <rFont val="Calibri"/>
        <family val="2"/>
      </rPr>
      <t>α)?  If your answer is yes, then reject the null hypotheses.</t>
    </r>
  </si>
  <si>
    <t>c</t>
  </si>
  <si>
    <t>d</t>
  </si>
  <si>
    <t>z-Test: Two Sample for Means</t>
  </si>
  <si>
    <t>e</t>
  </si>
  <si>
    <t>f</t>
  </si>
  <si>
    <t>g</t>
  </si>
  <si>
    <t>h</t>
  </si>
  <si>
    <t>Known Variance</t>
  </si>
  <si>
    <t>i</t>
  </si>
  <si>
    <t>Observations</t>
  </si>
  <si>
    <t>j</t>
  </si>
  <si>
    <t>Hypothesized Mean Difference</t>
  </si>
  <si>
    <t>l</t>
  </si>
  <si>
    <t>P(Z&lt;=z) one-tail</t>
  </si>
  <si>
    <t>Critial F probability</t>
  </si>
  <si>
    <t>m</t>
  </si>
  <si>
    <t>z Critical one-tail</t>
  </si>
  <si>
    <t>Samp1</t>
  </si>
  <si>
    <t>Samp2</t>
  </si>
  <si>
    <t>P(Z&lt;=z) two-tail</t>
  </si>
  <si>
    <r>
      <t>σ</t>
    </r>
    <r>
      <rPr>
        <vertAlign val="superscript"/>
        <sz val="11"/>
        <color theme="1"/>
        <rFont val="Calibri"/>
        <family val="2"/>
      </rPr>
      <t>2</t>
    </r>
  </si>
  <si>
    <t>o</t>
  </si>
  <si>
    <t>z Critical two-tail</t>
  </si>
  <si>
    <t>p</t>
  </si>
  <si>
    <t>q</t>
  </si>
  <si>
    <t>2) Are the two sample variances equal?  Use this F-Test to decide.</t>
  </si>
  <si>
    <t># Tails</t>
  </si>
  <si>
    <t>(Note: should be 1 or 2)</t>
  </si>
  <si>
    <t>r</t>
  </si>
  <si>
    <r>
      <t xml:space="preserve">(Note: put sample with larger variance in the first column. F must always be </t>
    </r>
    <r>
      <rPr>
        <b/>
        <sz val="10"/>
        <color rgb="FFFF0000"/>
        <rFont val="Calibri"/>
        <family val="2"/>
      </rPr>
      <t>≥</t>
    </r>
    <r>
      <rPr>
        <b/>
        <sz val="10"/>
        <color rgb="FFFF0000"/>
        <rFont val="Arial"/>
        <family val="2"/>
      </rPr>
      <t xml:space="preserve"> 1.)</t>
    </r>
  </si>
  <si>
    <t>s</t>
  </si>
  <si>
    <t>t</t>
  </si>
  <si>
    <t>Critical Values of the F Distribution</t>
  </si>
  <si>
    <t>u</t>
  </si>
  <si>
    <t>F-Test Two-Sample for Variances</t>
  </si>
  <si>
    <t>α=</t>
  </si>
  <si>
    <t>v</t>
  </si>
  <si>
    <t>w</t>
  </si>
  <si>
    <t>Degrees of Freedom for the Numerator</t>
  </si>
  <si>
    <t>y</t>
  </si>
  <si>
    <t>Degrees of Freedom for the Denominator</t>
  </si>
  <si>
    <t>aa</t>
  </si>
  <si>
    <t>ab</t>
  </si>
  <si>
    <t>ac</t>
  </si>
  <si>
    <t>P(F&lt;=f) one-tail</t>
  </si>
  <si>
    <t>ad</t>
  </si>
  <si>
    <t>F Critical one-tail</t>
  </si>
  <si>
    <t>ae</t>
  </si>
  <si>
    <t>af</t>
  </si>
  <si>
    <t>ag</t>
  </si>
  <si>
    <t>3a) If variances are equal.  Are the means equal?</t>
  </si>
  <si>
    <t>ah</t>
  </si>
  <si>
    <t>ai</t>
  </si>
  <si>
    <t>aj</t>
  </si>
  <si>
    <t>t-Test: Two-Sample Assuming Equal Variances</t>
  </si>
  <si>
    <t>ak</t>
  </si>
  <si>
    <t>al</t>
  </si>
  <si>
    <t>am</t>
  </si>
  <si>
    <t>an</t>
  </si>
  <si>
    <t>ao</t>
  </si>
  <si>
    <t>ap</t>
  </si>
  <si>
    <t>Pooled Variance</t>
  </si>
  <si>
    <t>aq</t>
  </si>
  <si>
    <t>ar</t>
  </si>
  <si>
    <t>as</t>
  </si>
  <si>
    <t>t Stat</t>
  </si>
  <si>
    <t>at</t>
  </si>
  <si>
    <t>P(T&lt;=t) one-tail</t>
  </si>
  <si>
    <t>au</t>
  </si>
  <si>
    <t>t Critical one-tail</t>
  </si>
  <si>
    <t>P(T&lt;=t) two-tail</t>
  </si>
  <si>
    <t>t Critical two-tail</t>
  </si>
  <si>
    <t>3b) If variances are NOT equal.  Are the means equal?</t>
  </si>
  <si>
    <t>t-Test: Two-Sample Assuming Unequal Variances</t>
  </si>
  <si>
    <t>Special Case for paired samples</t>
  </si>
  <si>
    <t>t-Test: Paired Two Sample for Means</t>
  </si>
  <si>
    <t>Variable 1</t>
  </si>
  <si>
    <t>Variable 2</t>
  </si>
  <si>
    <t>Pearson Correlation</t>
  </si>
  <si>
    <t>Std. Dev (sample)</t>
  </si>
  <si>
    <t>Known means</t>
  </si>
  <si>
    <t>Known Std Dev (Pop)</t>
  </si>
  <si>
    <t>Known Variance (Pop)</t>
  </si>
  <si>
    <r>
      <t>Is P(F) &lt; P(</t>
    </r>
    <r>
      <rPr>
        <sz val="11"/>
        <color theme="1"/>
        <rFont val="Calibri"/>
        <family val="2"/>
      </rPr>
      <t>α)?  If your answer is yes, then reject the null hypotheses.</t>
    </r>
  </si>
  <si>
    <r>
      <t>Is P(t) &lt; P(</t>
    </r>
    <r>
      <rPr>
        <sz val="11"/>
        <color theme="1"/>
        <rFont val="Calibri"/>
        <family val="2"/>
      </rPr>
      <t>α)?  If your answer is yes, then reject the null hypotheses.</t>
    </r>
  </si>
  <si>
    <t>Two Variables, one depends (Y) on the other (X)</t>
  </si>
  <si>
    <t>Steps</t>
  </si>
  <si>
    <t>X Values</t>
  </si>
  <si>
    <t>Y Value</t>
  </si>
  <si>
    <t>1) Plot the data</t>
  </si>
  <si>
    <t>2) Are they correlated?</t>
  </si>
  <si>
    <t>3) How confident are you that they are correlated?</t>
  </si>
  <si>
    <t>4) What is the linear relationship?</t>
  </si>
  <si>
    <r>
      <t>5) Plot the regressed line (pick line, "add trendline with r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")</t>
    </r>
  </si>
  <si>
    <t>6) Predict a value based upon the linear relationship.</t>
  </si>
  <si>
    <t>7) Using Excel's Data Analysis: Regression tool for more information</t>
  </si>
  <si>
    <t>Means</t>
  </si>
  <si>
    <t>Is the data correlated?</t>
  </si>
  <si>
    <t>Data Analysis: Regression</t>
  </si>
  <si>
    <t>Correlation, r</t>
  </si>
  <si>
    <t>SUMMARY OUTPUT</t>
  </si>
  <si>
    <r>
      <t>Co of Det, r</t>
    </r>
    <r>
      <rPr>
        <vertAlign val="superscript"/>
        <sz val="10"/>
        <rFont val="Arial"/>
        <family val="2"/>
      </rPr>
      <t>2</t>
    </r>
  </si>
  <si>
    <t>Regression Statistics</t>
  </si>
  <si>
    <t>Multiple R</t>
  </si>
  <si>
    <t>R Square</t>
  </si>
  <si>
    <r>
      <rPr>
        <sz val="10"/>
        <rFont val="Calibri"/>
        <family val="2"/>
      </rPr>
      <t>α</t>
    </r>
    <r>
      <rPr>
        <sz val="11"/>
        <color theme="1"/>
        <rFont val="Calibri"/>
        <family val="2"/>
        <scheme val="minor"/>
      </rPr>
      <t xml:space="preserve"> (hypothesis)</t>
    </r>
  </si>
  <si>
    <t>Adjusted R Square</t>
  </si>
  <si>
    <t>t-Stat</t>
  </si>
  <si>
    <r>
      <t xml:space="preserve">t @ </t>
    </r>
    <r>
      <rPr>
        <sz val="10"/>
        <rFont val="Calibri"/>
        <family val="2"/>
      </rPr>
      <t>α</t>
    </r>
  </si>
  <si>
    <r>
      <t xml:space="preserve">r @ </t>
    </r>
    <r>
      <rPr>
        <sz val="10"/>
        <rFont val="Calibri"/>
        <family val="2"/>
      </rPr>
      <t>α</t>
    </r>
  </si>
  <si>
    <t>p @ t-stat</t>
  </si>
  <si>
    <t>ANOVA</t>
  </si>
  <si>
    <t>SS</t>
  </si>
  <si>
    <t>MS</t>
  </si>
  <si>
    <t>Significance F</t>
  </si>
  <si>
    <t>What is the linear relationship?</t>
  </si>
  <si>
    <t>Regression</t>
  </si>
  <si>
    <t>Y=a+bx</t>
  </si>
  <si>
    <t>Residual</t>
  </si>
  <si>
    <t>b (slope)</t>
  </si>
  <si>
    <t>a (intercept)</t>
  </si>
  <si>
    <t>Coefficients</t>
  </si>
  <si>
    <t>P-value</t>
  </si>
  <si>
    <t>Lower 95%</t>
  </si>
  <si>
    <t>Upper 95%</t>
  </si>
  <si>
    <t>Intercept</t>
  </si>
  <si>
    <t>X Variable 1</t>
  </si>
  <si>
    <t>Given some X, what is the estimate of Y?</t>
  </si>
  <si>
    <t>X</t>
  </si>
  <si>
    <t>Y hat</t>
  </si>
  <si>
    <t>± error</t>
  </si>
  <si>
    <t>What is the linear equation?</t>
  </si>
  <si>
    <t>Cost</t>
  </si>
  <si>
    <t>Temp</t>
  </si>
  <si>
    <t>Insul</t>
  </si>
  <si>
    <t>Age</t>
  </si>
  <si>
    <t>Lower 95.0%</t>
  </si>
  <si>
    <t>Upper 95.0%</t>
  </si>
  <si>
    <t>For a random number</t>
  </si>
  <si>
    <t>Returns a number between 0 and 1. Changes upon data entry</t>
  </si>
  <si>
    <t>Pressing F9 updates.</t>
  </si>
  <si>
    <t>Rand()</t>
  </si>
  <si>
    <t>For random numbers between 0 and 50.</t>
  </si>
  <si>
    <t>Upper limit</t>
  </si>
  <si>
    <t>Rand()*50</t>
  </si>
  <si>
    <t>For random numbers in any range (X and Y).</t>
  </si>
  <si>
    <t>Y</t>
  </si>
  <si>
    <t>RAND()*(y-x)+x</t>
  </si>
  <si>
    <t>Whole numbers only, use the INT function</t>
  </si>
  <si>
    <t>INT(Rand())</t>
  </si>
  <si>
    <t>For whole numbers between X and Y, inclusive</t>
  </si>
  <si>
    <t>Example: Roll of dice</t>
  </si>
  <si>
    <t>int(RAND()*(y-1-x)+x)+1</t>
  </si>
  <si>
    <t>Another function for random numbers</t>
  </si>
  <si>
    <t>RANDBETWEEN(bottom,top)</t>
  </si>
  <si>
    <t>Size</t>
  </si>
  <si>
    <t>Price</t>
  </si>
  <si>
    <t>How confident are we that correlation = 0?</t>
  </si>
  <si>
    <t>Null hypothese: The data is not correlated (r=0)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</si>
</sst>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64" formatCode="0.000"/>
    <numFmt numFmtId="165" formatCode="0.0"/>
    <numFmt numFmtId="166" formatCode="0.0000"/>
    <numFmt numFmtId="167" formatCode="0.0%"/>
    <numFmt numFmtId="168" formatCode="#,##0.0000"/>
    <numFmt numFmtId="169" formatCode="0.00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  <font>
      <i/>
      <sz val="10"/>
      <color rgb="FFC00000"/>
      <name val="Arial"/>
      <family val="2"/>
    </font>
    <font>
      <b/>
      <sz val="10"/>
      <name val="Arial"/>
      <family val="2"/>
    </font>
    <font>
      <i/>
      <sz val="11"/>
      <color rgb="FFC00000"/>
      <name val="Calibri"/>
      <family val="2"/>
      <scheme val="minor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name val="Arial"/>
      <family val="2"/>
    </font>
    <font>
      <i/>
      <sz val="10"/>
      <name val="Times New Roman"/>
      <family val="1"/>
    </font>
    <font>
      <i/>
      <sz val="12"/>
      <name val="Arial"/>
      <family val="2"/>
    </font>
    <font>
      <sz val="12"/>
      <name val="Arial"/>
      <family val="2"/>
    </font>
    <font>
      <vertAlign val="superscript"/>
      <sz val="11"/>
      <color theme="1"/>
      <name val="Calibri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</font>
    <font>
      <vertAlign val="superscript"/>
      <sz val="10"/>
      <name val="Arial"/>
      <family val="2"/>
    </font>
    <font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DF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45"/>
      </right>
      <top style="thick">
        <color indexed="45"/>
      </top>
      <bottom style="thick">
        <color indexed="45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0" fillId="0" borderId="3" xfId="0" applyBorder="1"/>
    <xf numFmtId="9" fontId="0" fillId="0" borderId="0" xfId="1" applyNumberFormat="1" applyFont="1"/>
    <xf numFmtId="0" fontId="3" fillId="0" borderId="4" xfId="0" applyFont="1" applyFill="1" applyBorder="1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/>
    <xf numFmtId="0" fontId="0" fillId="0" borderId="3" xfId="0" applyBorder="1" applyAlignment="1">
      <alignment horizontal="right"/>
    </xf>
    <xf numFmtId="0" fontId="5" fillId="0" borderId="5" xfId="0" applyFont="1" applyFill="1" applyBorder="1" applyAlignment="1">
      <alignment horizontal="centerContinuous"/>
    </xf>
    <xf numFmtId="0" fontId="0" fillId="0" borderId="0" xfId="0" applyFill="1" applyBorder="1" applyAlignment="1"/>
    <xf numFmtId="164" fontId="0" fillId="0" borderId="3" xfId="0" applyNumberFormat="1" applyBorder="1"/>
    <xf numFmtId="0" fontId="0" fillId="0" borderId="6" xfId="0" applyFill="1" applyBorder="1" applyAlignment="1"/>
    <xf numFmtId="0" fontId="3" fillId="0" borderId="6" xfId="0" applyFont="1" applyBorder="1" applyAlignment="1"/>
    <xf numFmtId="0" fontId="0" fillId="2" borderId="3" xfId="0" applyFill="1" applyBorder="1"/>
    <xf numFmtId="0" fontId="0" fillId="3" borderId="3" xfId="0" applyFill="1" applyBorder="1"/>
    <xf numFmtId="49" fontId="0" fillId="0" borderId="3" xfId="0" applyNumberFormat="1" applyBorder="1" applyAlignment="1">
      <alignment horizontal="right"/>
    </xf>
    <xf numFmtId="164" fontId="0" fillId="3" borderId="3" xfId="0" applyNumberFormat="1" applyFill="1" applyBorder="1"/>
    <xf numFmtId="0" fontId="0" fillId="0" borderId="0" xfId="0" applyFill="1" applyBorder="1" applyAlignment="1">
      <alignment horizontal="right"/>
    </xf>
    <xf numFmtId="0" fontId="7" fillId="3" borderId="1" xfId="0" applyFont="1" applyFill="1" applyBorder="1"/>
    <xf numFmtId="0" fontId="7" fillId="3" borderId="7" xfId="0" applyFont="1" applyFill="1" applyBorder="1"/>
    <xf numFmtId="0" fontId="7" fillId="3" borderId="2" xfId="0" applyFont="1" applyFill="1" applyBorder="1"/>
    <xf numFmtId="2" fontId="0" fillId="0" borderId="0" xfId="0" applyNumberFormat="1"/>
    <xf numFmtId="9" fontId="0" fillId="0" borderId="0" xfId="1" applyFont="1"/>
    <xf numFmtId="0" fontId="3" fillId="0" borderId="0" xfId="0" applyFont="1" applyAlignment="1"/>
    <xf numFmtId="0" fontId="0" fillId="0" borderId="3" xfId="0" applyFill="1" applyBorder="1"/>
    <xf numFmtId="0" fontId="0" fillId="0" borderId="4" xfId="0" applyFill="1" applyBorder="1" applyAlignment="1">
      <alignment horizontal="right"/>
    </xf>
    <xf numFmtId="164" fontId="0" fillId="3" borderId="0" xfId="0" applyNumberFormat="1" applyFill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0" borderId="7" xfId="0" applyBorder="1"/>
    <xf numFmtId="0" fontId="0" fillId="0" borderId="7" xfId="0" applyBorder="1" applyAlignment="1">
      <alignment horizontal="right"/>
    </xf>
    <xf numFmtId="2" fontId="0" fillId="3" borderId="3" xfId="0" applyNumberFormat="1" applyFill="1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right"/>
    </xf>
    <xf numFmtId="165" fontId="0" fillId="3" borderId="3" xfId="0" applyNumberFormat="1" applyFill="1" applyBorder="1"/>
    <xf numFmtId="0" fontId="3" fillId="0" borderId="8" xfId="0" applyFont="1" applyBorder="1" applyAlignment="1"/>
    <xf numFmtId="44" fontId="0" fillId="0" borderId="0" xfId="0" applyNumberFormat="1"/>
    <xf numFmtId="0" fontId="8" fillId="0" borderId="0" xfId="0" applyFont="1" applyAlignment="1">
      <alignment horizontal="right"/>
    </xf>
    <xf numFmtId="0" fontId="8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2" borderId="3" xfId="0" applyFill="1" applyBorder="1" applyAlignment="1">
      <alignment horizontal="right"/>
    </xf>
    <xf numFmtId="164" fontId="0" fillId="0" borderId="0" xfId="0" applyNumberFormat="1"/>
    <xf numFmtId="0" fontId="0" fillId="5" borderId="3" xfId="0" applyFill="1" applyBorder="1"/>
    <xf numFmtId="0" fontId="7" fillId="6" borderId="3" xfId="0" applyFont="1" applyFill="1" applyBorder="1"/>
    <xf numFmtId="0" fontId="7" fillId="7" borderId="3" xfId="0" applyFont="1" applyFill="1" applyBorder="1"/>
    <xf numFmtId="166" fontId="0" fillId="3" borderId="3" xfId="0" applyNumberFormat="1" applyFill="1" applyBorder="1"/>
    <xf numFmtId="0" fontId="7" fillId="3" borderId="3" xfId="0" applyFont="1" applyFill="1" applyBorder="1"/>
    <xf numFmtId="0" fontId="0" fillId="3" borderId="11" xfId="0" applyFill="1" applyBorder="1" applyAlignment="1">
      <alignment horizontal="right"/>
    </xf>
    <xf numFmtId="0" fontId="0" fillId="3" borderId="8" xfId="0" applyFill="1" applyBorder="1" applyAlignment="1">
      <alignment horizontal="left"/>
    </xf>
    <xf numFmtId="0" fontId="0" fillId="3" borderId="8" xfId="0" applyFill="1" applyBorder="1"/>
    <xf numFmtId="0" fontId="0" fillId="3" borderId="12" xfId="0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14" xfId="0" applyFill="1" applyBorder="1" applyAlignment="1">
      <alignment horizontal="center"/>
    </xf>
    <xf numFmtId="164" fontId="0" fillId="3" borderId="0" xfId="0" applyNumberFormat="1" applyFill="1" applyBorder="1"/>
    <xf numFmtId="164" fontId="0" fillId="3" borderId="15" xfId="0" applyNumberFormat="1" applyFill="1" applyBorder="1"/>
    <xf numFmtId="164" fontId="0" fillId="3" borderId="10" xfId="0" applyNumberFormat="1" applyFill="1" applyBorder="1"/>
    <xf numFmtId="164" fontId="0" fillId="3" borderId="13" xfId="0" applyNumberFormat="1" applyFill="1" applyBorder="1"/>
    <xf numFmtId="0" fontId="0" fillId="0" borderId="0" xfId="0" applyBorder="1"/>
    <xf numFmtId="49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/>
    <xf numFmtId="0" fontId="11" fillId="0" borderId="3" xfId="0" applyFont="1" applyFill="1" applyBorder="1" applyAlignment="1">
      <alignment horizontal="right"/>
    </xf>
    <xf numFmtId="0" fontId="7" fillId="4" borderId="3" xfId="0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13" fillId="0" borderId="0" xfId="0" applyFont="1" applyAlignment="1">
      <alignment horizontal="right"/>
    </xf>
    <xf numFmtId="0" fontId="14" fillId="0" borderId="3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7" fillId="0" borderId="3" xfId="0" applyFont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164" fontId="0" fillId="6" borderId="3" xfId="0" applyNumberFormat="1" applyFill="1" applyBorder="1"/>
    <xf numFmtId="164" fontId="0" fillId="4" borderId="3" xfId="0" applyNumberFormat="1" applyFill="1" applyBorder="1" applyAlignment="1">
      <alignment horizontal="right"/>
    </xf>
    <xf numFmtId="0" fontId="0" fillId="6" borderId="3" xfId="0" applyFill="1" applyBorder="1"/>
    <xf numFmtId="164" fontId="0" fillId="4" borderId="3" xfId="1" applyNumberFormat="1" applyFont="1" applyFill="1" applyBorder="1"/>
    <xf numFmtId="167" fontId="0" fillId="0" borderId="3" xfId="0" applyNumberFormat="1" applyBorder="1" applyAlignment="1">
      <alignment horizontal="right"/>
    </xf>
    <xf numFmtId="0" fontId="0" fillId="4" borderId="3" xfId="0" applyFill="1" applyBorder="1"/>
    <xf numFmtId="1" fontId="0" fillId="4" borderId="3" xfId="0" applyNumberFormat="1" applyFill="1" applyBorder="1" applyAlignment="1">
      <alignment horizontal="right"/>
    </xf>
    <xf numFmtId="0" fontId="0" fillId="0" borderId="2" xfId="0" applyBorder="1"/>
    <xf numFmtId="0" fontId="0" fillId="0" borderId="0" xfId="0" applyAlignment="1">
      <alignment wrapText="1"/>
    </xf>
    <xf numFmtId="167" fontId="0" fillId="4" borderId="3" xfId="1" applyNumberFormat="1" applyFont="1" applyFill="1" applyBorder="1"/>
    <xf numFmtId="10" fontId="0" fillId="0" borderId="0" xfId="1" applyNumberFormat="1" applyFont="1" applyBorder="1"/>
    <xf numFmtId="0" fontId="0" fillId="0" borderId="11" xfId="0" applyBorder="1" applyAlignment="1">
      <alignment horizontal="right"/>
    </xf>
    <xf numFmtId="2" fontId="0" fillId="6" borderId="3" xfId="0" applyNumberFormat="1" applyFill="1" applyBorder="1"/>
    <xf numFmtId="0" fontId="13" fillId="0" borderId="0" xfId="0" applyFont="1" applyBorder="1" applyAlignment="1">
      <alignment horizontal="right"/>
    </xf>
    <xf numFmtId="10" fontId="0" fillId="3" borderId="1" xfId="1" applyNumberFormat="1" applyFont="1" applyFill="1" applyBorder="1" applyAlignment="1">
      <alignment horizontal="right"/>
    </xf>
    <xf numFmtId="10" fontId="0" fillId="3" borderId="3" xfId="1" applyNumberFormat="1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righ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7" fillId="0" borderId="10" xfId="0" applyFont="1" applyBorder="1" applyAlignment="1"/>
    <xf numFmtId="0" fontId="14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right"/>
    </xf>
    <xf numFmtId="0" fontId="0" fillId="0" borderId="7" xfId="0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0" fontId="19" fillId="0" borderId="3" xfId="0" applyFont="1" applyBorder="1" applyAlignment="1">
      <alignment horizontal="right"/>
    </xf>
    <xf numFmtId="164" fontId="7" fillId="5" borderId="2" xfId="0" applyNumberFormat="1" applyFont="1" applyFill="1" applyBorder="1"/>
    <xf numFmtId="164" fontId="7" fillId="5" borderId="1" xfId="0" applyNumberFormat="1" applyFont="1" applyFill="1" applyBorder="1"/>
    <xf numFmtId="0" fontId="7" fillId="5" borderId="3" xfId="0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7" fillId="0" borderId="3" xfId="0" applyFont="1" applyFill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64" fontId="7" fillId="9" borderId="17" xfId="0" applyNumberFormat="1" applyFont="1" applyFill="1" applyBorder="1"/>
    <xf numFmtId="0" fontId="7" fillId="0" borderId="0" xfId="0" applyFont="1" applyFill="1" applyBorder="1" applyAlignment="1"/>
    <xf numFmtId="1" fontId="0" fillId="0" borderId="15" xfId="0" applyNumberFormat="1" applyFill="1" applyBorder="1" applyAlignment="1">
      <alignment horizontal="right"/>
    </xf>
    <xf numFmtId="1" fontId="7" fillId="0" borderId="15" xfId="0" applyNumberFormat="1" applyFont="1" applyFill="1" applyBorder="1" applyAlignment="1">
      <alignment horizontal="right"/>
    </xf>
    <xf numFmtId="0" fontId="7" fillId="2" borderId="3" xfId="0" applyFont="1" applyFill="1" applyBorder="1"/>
    <xf numFmtId="0" fontId="7" fillId="2" borderId="1" xfId="0" applyFont="1" applyFill="1" applyBorder="1"/>
    <xf numFmtId="164" fontId="7" fillId="2" borderId="3" xfId="0" applyNumberFormat="1" applyFont="1" applyFill="1" applyBorder="1"/>
    <xf numFmtId="164" fontId="7" fillId="2" borderId="1" xfId="0" applyNumberFormat="1" applyFont="1" applyFill="1" applyBorder="1"/>
    <xf numFmtId="0" fontId="7" fillId="2" borderId="3" xfId="0" applyFont="1" applyFill="1" applyBorder="1" applyAlignment="1">
      <alignment horizontal="right"/>
    </xf>
    <xf numFmtId="167" fontId="7" fillId="2" borderId="2" xfId="1" applyNumberFormat="1" applyFont="1" applyFill="1" applyBorder="1"/>
    <xf numFmtId="0" fontId="7" fillId="2" borderId="2" xfId="0" applyFont="1" applyFill="1" applyBorder="1"/>
    <xf numFmtId="0" fontId="7" fillId="3" borderId="3" xfId="0" applyFont="1" applyFill="1" applyBorder="1" applyAlignment="1">
      <alignment horizontal="center"/>
    </xf>
    <xf numFmtId="167" fontId="7" fillId="3" borderId="1" xfId="1" applyNumberFormat="1" applyFont="1" applyFill="1" applyBorder="1"/>
    <xf numFmtId="164" fontId="7" fillId="3" borderId="0" xfId="0" applyNumberFormat="1" applyFont="1" applyFill="1"/>
    <xf numFmtId="164" fontId="7" fillId="3" borderId="7" xfId="0" applyNumberFormat="1" applyFont="1" applyFill="1" applyBorder="1" applyAlignment="1">
      <alignment horizontal="right"/>
    </xf>
    <xf numFmtId="164" fontId="7" fillId="3" borderId="2" xfId="0" applyNumberFormat="1" applyFont="1" applyFill="1" applyBorder="1"/>
    <xf numFmtId="164" fontId="7" fillId="3" borderId="1" xfId="0" applyNumberFormat="1" applyFont="1" applyFill="1" applyBorder="1" applyAlignment="1">
      <alignment horizontal="right"/>
    </xf>
    <xf numFmtId="164" fontId="7" fillId="3" borderId="3" xfId="0" applyNumberFormat="1" applyFont="1" applyFill="1" applyBorder="1"/>
    <xf numFmtId="0" fontId="20" fillId="3" borderId="3" xfId="0" applyFont="1" applyFill="1" applyBorder="1" applyAlignment="1">
      <alignment horizontal="right"/>
    </xf>
    <xf numFmtId="164" fontId="0" fillId="3" borderId="16" xfId="0" applyNumberFormat="1" applyFill="1" applyBorder="1"/>
    <xf numFmtId="164" fontId="0" fillId="3" borderId="11" xfId="0" applyNumberFormat="1" applyFill="1" applyBorder="1"/>
    <xf numFmtId="164" fontId="0" fillId="3" borderId="4" xfId="0" applyNumberFormat="1" applyFill="1" applyBorder="1"/>
    <xf numFmtId="164" fontId="0" fillId="3" borderId="14" xfId="0" applyNumberFormat="1" applyFill="1" applyBorder="1"/>
    <xf numFmtId="0" fontId="12" fillId="0" borderId="0" xfId="0" applyFont="1"/>
    <xf numFmtId="2" fontId="0" fillId="4" borderId="3" xfId="0" applyNumberFormat="1" applyFill="1" applyBorder="1"/>
    <xf numFmtId="0" fontId="5" fillId="0" borderId="5" xfId="0" applyFont="1" applyFill="1" applyBorder="1" applyAlignment="1">
      <alignment horizontal="center"/>
    </xf>
    <xf numFmtId="0" fontId="6" fillId="0" borderId="12" xfId="0" applyFont="1" applyBorder="1"/>
    <xf numFmtId="164" fontId="0" fillId="10" borderId="3" xfId="0" applyNumberFormat="1" applyFill="1" applyBorder="1"/>
    <xf numFmtId="0" fontId="0" fillId="0" borderId="0" xfId="0" applyFill="1"/>
    <xf numFmtId="0" fontId="0" fillId="10" borderId="3" xfId="0" applyFill="1" applyBorder="1"/>
    <xf numFmtId="0" fontId="6" fillId="0" borderId="2" xfId="0" applyFont="1" applyBorder="1"/>
    <xf numFmtId="0" fontId="22" fillId="0" borderId="0" xfId="0" applyFont="1"/>
    <xf numFmtId="0" fontId="6" fillId="0" borderId="13" xfId="0" applyFont="1" applyBorder="1"/>
    <xf numFmtId="0" fontId="6" fillId="0" borderId="0" xfId="0" applyFont="1" applyAlignment="1">
      <alignment horizontal="right"/>
    </xf>
    <xf numFmtId="2" fontId="0" fillId="0" borderId="3" xfId="0" applyNumberFormat="1" applyBorder="1"/>
    <xf numFmtId="0" fontId="12" fillId="0" borderId="0" xfId="0" applyFont="1" applyFill="1"/>
    <xf numFmtId="0" fontId="3" fillId="0" borderId="0" xfId="0" applyFont="1" applyAlignment="1">
      <alignment vertical="center" textRotation="90"/>
    </xf>
    <xf numFmtId="11" fontId="0" fillId="0" borderId="0" xfId="0" applyNumberFormat="1" applyAlignment="1">
      <alignment horizontal="right"/>
    </xf>
    <xf numFmtId="0" fontId="14" fillId="0" borderId="5" xfId="0" applyFont="1" applyFill="1" applyBorder="1" applyAlignment="1">
      <alignment horizontal="center"/>
    </xf>
    <xf numFmtId="164" fontId="0" fillId="11" borderId="0" xfId="0" applyNumberFormat="1" applyFill="1"/>
    <xf numFmtId="164" fontId="0" fillId="10" borderId="0" xfId="0" applyNumberFormat="1" applyFill="1"/>
    <xf numFmtId="0" fontId="0" fillId="11" borderId="0" xfId="0" applyFill="1"/>
    <xf numFmtId="0" fontId="0" fillId="12" borderId="0" xfId="0" applyFill="1"/>
    <xf numFmtId="0" fontId="0" fillId="0" borderId="0" xfId="0" applyAlignment="1">
      <alignment horizontal="right"/>
    </xf>
    <xf numFmtId="168" fontId="0" fillId="0" borderId="0" xfId="0" applyNumberFormat="1"/>
    <xf numFmtId="168" fontId="0" fillId="4" borderId="3" xfId="0" applyNumberFormat="1" applyFill="1" applyBorder="1"/>
    <xf numFmtId="0" fontId="7" fillId="0" borderId="3" xfId="0" applyFont="1" applyFill="1" applyBorder="1"/>
    <xf numFmtId="0" fontId="0" fillId="0" borderId="0" xfId="0" applyFill="1" applyBorder="1"/>
    <xf numFmtId="0" fontId="12" fillId="0" borderId="0" xfId="0" applyFont="1" applyFill="1" applyBorder="1"/>
    <xf numFmtId="0" fontId="7" fillId="0" borderId="3" xfId="0" applyFont="1" applyBorder="1"/>
    <xf numFmtId="10" fontId="0" fillId="4" borderId="3" xfId="1" applyNumberFormat="1" applyFont="1" applyFill="1" applyBorder="1"/>
    <xf numFmtId="10" fontId="0" fillId="0" borderId="0" xfId="1" applyNumberFormat="1" applyFont="1"/>
    <xf numFmtId="0" fontId="0" fillId="0" borderId="3" xfId="0" applyFont="1" applyFill="1" applyBorder="1"/>
    <xf numFmtId="166" fontId="0" fillId="0" borderId="0" xfId="0" applyNumberFormat="1"/>
    <xf numFmtId="0" fontId="0" fillId="0" borderId="0" xfId="0" applyAlignment="1">
      <alignment horizontal="right"/>
    </xf>
    <xf numFmtId="164" fontId="0" fillId="4" borderId="3" xfId="0" applyNumberFormat="1" applyFill="1" applyBorder="1"/>
    <xf numFmtId="10" fontId="0" fillId="3" borderId="3" xfId="1" applyNumberFormat="1" applyFont="1" applyFill="1" applyBorder="1"/>
    <xf numFmtId="169" fontId="0" fillId="3" borderId="3" xfId="0" applyNumberFormat="1" applyFill="1" applyBorder="1"/>
    <xf numFmtId="165" fontId="0" fillId="4" borderId="3" xfId="0" applyNumberFormat="1" applyFill="1" applyBorder="1"/>
    <xf numFmtId="0" fontId="0" fillId="7" borderId="0" xfId="0" applyFill="1" applyBorder="1" applyAlignment="1"/>
    <xf numFmtId="0" fontId="0" fillId="7" borderId="6" xfId="0" applyFill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4" borderId="1" xfId="0" applyFill="1" applyBorder="1"/>
    <xf numFmtId="0" fontId="0" fillId="4" borderId="7" xfId="0" applyFill="1" applyBorder="1"/>
    <xf numFmtId="0" fontId="0" fillId="4" borderId="2" xfId="0" applyFill="1" applyBorder="1"/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7" xfId="0" applyFill="1" applyBorder="1"/>
    <xf numFmtId="0" fontId="0" fillId="2" borderId="2" xfId="0" applyFill="1" applyBorder="1"/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7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right" vertical="center" textRotation="90"/>
    </xf>
    <xf numFmtId="0" fontId="12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2" xfId="0" applyFill="1" applyBorder="1" applyAlignment="1">
      <alignment horizontal="left"/>
    </xf>
  </cellXfs>
  <cellStyles count="2">
    <cellStyle name="Normal" xfId="0" builtinId="0"/>
    <cellStyle name="Percent" xfId="1" builtinId="5"/>
  </cellStyles>
  <dxfs count="15"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CDF4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M&amp;M Count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'M&amp;M Data'!$B$4</c:f>
              <c:strCache>
                <c:ptCount val="1"/>
                <c:pt idx="0">
                  <c:v>Count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showVal val="1"/>
          </c:dLbls>
          <c:cat>
            <c:strRef>
              <c:f>'M&amp;M Data'!$A$5:$A$10</c:f>
              <c:strCache>
                <c:ptCount val="6"/>
                <c:pt idx="0">
                  <c:v>Blue</c:v>
                </c:pt>
                <c:pt idx="1">
                  <c:v>Brown</c:v>
                </c:pt>
                <c:pt idx="2">
                  <c:v>Green</c:v>
                </c:pt>
                <c:pt idx="3">
                  <c:v>Orange</c:v>
                </c:pt>
                <c:pt idx="4">
                  <c:v>Yellow</c:v>
                </c:pt>
                <c:pt idx="5">
                  <c:v>Red</c:v>
                </c:pt>
              </c:strCache>
            </c:strRef>
          </c:cat>
          <c:val>
            <c:numRef>
              <c:f>'M&amp;M Data'!$B$5:$B$10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</c:ser>
        <c:axId val="128381312"/>
        <c:axId val="128382848"/>
      </c:barChart>
      <c:catAx>
        <c:axId val="12838131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8382848"/>
        <c:crosses val="autoZero"/>
        <c:auto val="1"/>
        <c:lblAlgn val="ctr"/>
        <c:lblOffset val="100"/>
      </c:catAx>
      <c:valAx>
        <c:axId val="128382848"/>
        <c:scaling>
          <c:orientation val="minMax"/>
        </c:scaling>
        <c:axPos val="l"/>
        <c:majorGridlines/>
        <c:numFmt formatCode="General" sourceLinked="1"/>
        <c:tickLblPos val="nextTo"/>
        <c:crossAx val="128381312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M&amp;Ms in Bag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'M&amp;M Data'!$B$4</c:f>
              <c:strCache>
                <c:ptCount val="1"/>
                <c:pt idx="0">
                  <c:v>Count</c:v>
                </c:pt>
              </c:strCache>
            </c:strRef>
          </c:tx>
          <c:dPt>
            <c:idx val="1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spPr>
              <a:solidFill>
                <a:srgbClr val="00B050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Pt>
            <c:idx val="4"/>
            <c:spPr>
              <a:solidFill>
                <a:srgbClr val="FFFF00"/>
              </a:solidFill>
            </c:spPr>
          </c:dPt>
          <c:dPt>
            <c:idx val="5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5.0475065616797855E-2"/>
                  <c:y val="-1.0666010498687751E-2"/>
                </c:manualLayout>
              </c:layout>
              <c:showPercent val="1"/>
            </c:dLbl>
            <c:dLbl>
              <c:idx val="1"/>
              <c:layout>
                <c:manualLayout>
                  <c:x val="7.4731408573928404E-2"/>
                  <c:y val="-4.3970909886264217E-2"/>
                </c:manualLayout>
              </c:layout>
              <c:showPercent val="1"/>
            </c:dLbl>
            <c:dLbl>
              <c:idx val="2"/>
              <c:layout>
                <c:manualLayout>
                  <c:x val="5.0920822397200353E-2"/>
                  <c:y val="2.8285578885972766E-2"/>
                </c:manualLayout>
              </c:layout>
              <c:showPercent val="1"/>
            </c:dLbl>
            <c:dLbl>
              <c:idx val="3"/>
              <c:layout>
                <c:manualLayout>
                  <c:x val="2.5105643044619496E-2"/>
                  <c:y val="-9.4546515018956567E-3"/>
                </c:manualLayout>
              </c:layout>
              <c:showPercent val="1"/>
            </c:dLbl>
            <c:dLbl>
              <c:idx val="4"/>
              <c:layout>
                <c:manualLayout>
                  <c:x val="-6.7397637795276175E-2"/>
                  <c:y val="-2.7329760863225451E-2"/>
                </c:manualLayout>
              </c:layout>
              <c:showPercent val="1"/>
            </c:dLbl>
            <c:dLbl>
              <c:idx val="5"/>
              <c:layout>
                <c:manualLayout>
                  <c:x val="-3.6842082239720041E-2"/>
                  <c:y val="-1.9058398950131235E-2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'M&amp;M Data'!$A$5:$A$10</c:f>
              <c:strCache>
                <c:ptCount val="6"/>
                <c:pt idx="0">
                  <c:v>Blue</c:v>
                </c:pt>
                <c:pt idx="1">
                  <c:v>Brown</c:v>
                </c:pt>
                <c:pt idx="2">
                  <c:v>Green</c:v>
                </c:pt>
                <c:pt idx="3">
                  <c:v>Orange</c:v>
                </c:pt>
                <c:pt idx="4">
                  <c:v>Yellow</c:v>
                </c:pt>
                <c:pt idx="5">
                  <c:v>Red</c:v>
                </c:pt>
              </c:strCache>
            </c:strRef>
          </c:cat>
          <c:val>
            <c:numRef>
              <c:f>'M&amp;M Data'!$B$5:$B$10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</c:ser>
        <c:firstSliceAng val="0"/>
      </c:pieChart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M&amp;M Percentages</a:t>
            </a:r>
          </a:p>
        </c:rich>
      </c:tx>
      <c:layout/>
      <c:spPr>
        <a:solidFill>
          <a:sysClr val="window" lastClr="FFFFFF">
            <a:alpha val="81000"/>
          </a:sysClr>
        </a:solidFill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'M&amp;M Data'!$B$5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1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spPr>
              <a:solidFill>
                <a:srgbClr val="00B050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spPr>
              <a:solidFill>
                <a:srgbClr val="FFFF00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</c:spPr>
          </c:dPt>
          <c:dLbls>
            <c:spPr>
              <a:solidFill>
                <a:sysClr val="window" lastClr="FFFFFF"/>
              </a:solidFill>
            </c:spPr>
            <c:showVal val="1"/>
          </c:dLbls>
          <c:cat>
            <c:strRef>
              <c:f>'M&amp;M Data'!$A$5:$A$10</c:f>
              <c:strCache>
                <c:ptCount val="6"/>
                <c:pt idx="0">
                  <c:v>Blue</c:v>
                </c:pt>
                <c:pt idx="1">
                  <c:v>Brown</c:v>
                </c:pt>
                <c:pt idx="2">
                  <c:v>Green</c:v>
                </c:pt>
                <c:pt idx="3">
                  <c:v>Orange</c:v>
                </c:pt>
                <c:pt idx="4">
                  <c:v>Yellow</c:v>
                </c:pt>
                <c:pt idx="5">
                  <c:v>Red</c:v>
                </c:pt>
              </c:strCache>
            </c:strRef>
          </c:cat>
          <c:val>
            <c:numRef>
              <c:f>'M&amp;M Data'!$C$5:$C$10</c:f>
              <c:numCache>
                <c:formatCode>0%</c:formatCode>
                <c:ptCount val="6"/>
                <c:pt idx="0">
                  <c:v>0.15789473684210525</c:v>
                </c:pt>
                <c:pt idx="1">
                  <c:v>0.15789473684210525</c:v>
                </c:pt>
                <c:pt idx="2">
                  <c:v>5.2631578947368418E-2</c:v>
                </c:pt>
                <c:pt idx="3">
                  <c:v>0.15789473684210525</c:v>
                </c:pt>
                <c:pt idx="4">
                  <c:v>0.21052631578947367</c:v>
                </c:pt>
                <c:pt idx="5">
                  <c:v>0.26315789473684209</c:v>
                </c:pt>
              </c:numCache>
            </c:numRef>
          </c:val>
        </c:ser>
        <c:axId val="132726144"/>
        <c:axId val="132736128"/>
      </c:barChart>
      <c:catAx>
        <c:axId val="132726144"/>
        <c:scaling>
          <c:orientation val="minMax"/>
        </c:scaling>
        <c:axPos val="b"/>
        <c:tickLblPos val="nextTo"/>
        <c:spPr>
          <a:solidFill>
            <a:sysClr val="window" lastClr="FFFFFF"/>
          </a:solidFill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2736128"/>
        <c:crosses val="autoZero"/>
        <c:auto val="1"/>
        <c:lblAlgn val="ctr"/>
        <c:lblOffset val="100"/>
      </c:catAx>
      <c:valAx>
        <c:axId val="132736128"/>
        <c:scaling>
          <c:orientation val="minMax"/>
        </c:scaling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%" sourceLinked="1"/>
        <c:tickLblPos val="nextTo"/>
        <c:spPr>
          <a:solidFill>
            <a:schemeClr val="bg1"/>
          </a:solidFill>
        </c:spPr>
        <c:crossAx val="132726144"/>
        <c:crosses val="autoZero"/>
        <c:crossBetween val="between"/>
      </c:valAx>
      <c:spPr>
        <a:noFill/>
      </c:spPr>
    </c:plotArea>
    <c:plotVisOnly val="1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M&amp;M Weights (Histogram)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numRef>
              <c:f>'M&amp;M Weights'!$Q$9:$Q$17</c:f>
              <c:numCache>
                <c:formatCode>General</c:formatCode>
                <c:ptCount val="9"/>
                <c:pt idx="0">
                  <c:v>0.83749999999999991</c:v>
                </c:pt>
                <c:pt idx="1">
                  <c:v>0.86250000000000004</c:v>
                </c:pt>
                <c:pt idx="2">
                  <c:v>0.88749999999999996</c:v>
                </c:pt>
                <c:pt idx="3">
                  <c:v>0.91250000000000009</c:v>
                </c:pt>
                <c:pt idx="4">
                  <c:v>0.9375</c:v>
                </c:pt>
                <c:pt idx="5">
                  <c:v>0.96250000000000013</c:v>
                </c:pt>
                <c:pt idx="6">
                  <c:v>0.98750000000000004</c:v>
                </c:pt>
                <c:pt idx="7">
                  <c:v>1.0125</c:v>
                </c:pt>
                <c:pt idx="8">
                  <c:v>1.0374999999999999</c:v>
                </c:pt>
              </c:numCache>
            </c:numRef>
          </c:cat>
          <c:val>
            <c:numRef>
              <c:f>'M&amp;M Weights'!$P$9:$P$17</c:f>
              <c:numCache>
                <c:formatCode>General</c:formatCode>
                <c:ptCount val="9"/>
                <c:pt idx="0">
                  <c:v>1</c:v>
                </c:pt>
                <c:pt idx="1">
                  <c:v>14</c:v>
                </c:pt>
                <c:pt idx="2">
                  <c:v>22</c:v>
                </c:pt>
                <c:pt idx="3">
                  <c:v>31</c:v>
                </c:pt>
                <c:pt idx="4">
                  <c:v>16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gapWidth val="0"/>
        <c:axId val="132592384"/>
        <c:axId val="132593920"/>
      </c:barChart>
      <c:catAx>
        <c:axId val="1325923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2593920"/>
        <c:crosses val="autoZero"/>
        <c:auto val="1"/>
        <c:lblAlgn val="ctr"/>
        <c:lblOffset val="100"/>
      </c:catAx>
      <c:valAx>
        <c:axId val="132593920"/>
        <c:scaling>
          <c:orientation val="minMax"/>
        </c:scaling>
        <c:axPos val="l"/>
        <c:majorGridlines/>
        <c:numFmt formatCode="General" sourceLinked="1"/>
        <c:tickLblPos val="nextTo"/>
        <c:crossAx val="132592384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M&amp;M Weights (Polygon)</a:t>
            </a:r>
          </a:p>
        </c:rich>
      </c:tx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'M&amp;M Weights'!$Q$9:$Q$17</c:f>
              <c:numCache>
                <c:formatCode>General</c:formatCode>
                <c:ptCount val="9"/>
                <c:pt idx="0">
                  <c:v>0.83749999999999991</c:v>
                </c:pt>
                <c:pt idx="1">
                  <c:v>0.86250000000000004</c:v>
                </c:pt>
                <c:pt idx="2">
                  <c:v>0.88749999999999996</c:v>
                </c:pt>
                <c:pt idx="3">
                  <c:v>0.91250000000000009</c:v>
                </c:pt>
                <c:pt idx="4">
                  <c:v>0.9375</c:v>
                </c:pt>
                <c:pt idx="5">
                  <c:v>0.96250000000000013</c:v>
                </c:pt>
                <c:pt idx="6">
                  <c:v>0.98750000000000004</c:v>
                </c:pt>
                <c:pt idx="7">
                  <c:v>1.0125</c:v>
                </c:pt>
                <c:pt idx="8">
                  <c:v>1.0374999999999999</c:v>
                </c:pt>
              </c:numCache>
            </c:numRef>
          </c:cat>
          <c:val>
            <c:numRef>
              <c:f>'M&amp;M Weights'!$P$9:$P$17</c:f>
              <c:numCache>
                <c:formatCode>General</c:formatCode>
                <c:ptCount val="9"/>
                <c:pt idx="0">
                  <c:v>1</c:v>
                </c:pt>
                <c:pt idx="1">
                  <c:v>14</c:v>
                </c:pt>
                <c:pt idx="2">
                  <c:v>22</c:v>
                </c:pt>
                <c:pt idx="3">
                  <c:v>31</c:v>
                </c:pt>
                <c:pt idx="4">
                  <c:v>16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marker val="1"/>
        <c:axId val="132695552"/>
        <c:axId val="132697088"/>
      </c:lineChart>
      <c:catAx>
        <c:axId val="1326955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2697088"/>
        <c:crosses val="autoZero"/>
        <c:auto val="1"/>
        <c:lblAlgn val="ctr"/>
        <c:lblOffset val="100"/>
      </c:catAx>
      <c:valAx>
        <c:axId val="132697088"/>
        <c:scaling>
          <c:orientation val="minMax"/>
        </c:scaling>
        <c:axPos val="l"/>
        <c:majorGridlines/>
        <c:numFmt formatCode="General" sourceLinked="1"/>
        <c:tickLblPos val="nextTo"/>
        <c:crossAx val="132695552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M&amp;M Weights (Cum. Polygon)</a:t>
            </a:r>
          </a:p>
        </c:rich>
      </c:tx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'M&amp;M Weights'!$Q$9:$Q$17</c:f>
              <c:numCache>
                <c:formatCode>General</c:formatCode>
                <c:ptCount val="9"/>
                <c:pt idx="0">
                  <c:v>0.83749999999999991</c:v>
                </c:pt>
                <c:pt idx="1">
                  <c:v>0.86250000000000004</c:v>
                </c:pt>
                <c:pt idx="2">
                  <c:v>0.88749999999999996</c:v>
                </c:pt>
                <c:pt idx="3">
                  <c:v>0.91250000000000009</c:v>
                </c:pt>
                <c:pt idx="4">
                  <c:v>0.9375</c:v>
                </c:pt>
                <c:pt idx="5">
                  <c:v>0.96250000000000013</c:v>
                </c:pt>
                <c:pt idx="6">
                  <c:v>0.98750000000000004</c:v>
                </c:pt>
                <c:pt idx="7">
                  <c:v>1.0125</c:v>
                </c:pt>
                <c:pt idx="8">
                  <c:v>1.0374999999999999</c:v>
                </c:pt>
              </c:numCache>
            </c:numRef>
          </c:cat>
          <c:val>
            <c:numRef>
              <c:f>'M&amp;M Weights'!$R$9:$R$17</c:f>
              <c:numCache>
                <c:formatCode>General</c:formatCode>
                <c:ptCount val="9"/>
                <c:pt idx="0">
                  <c:v>1</c:v>
                </c:pt>
                <c:pt idx="1">
                  <c:v>15</c:v>
                </c:pt>
                <c:pt idx="2">
                  <c:v>37</c:v>
                </c:pt>
                <c:pt idx="3">
                  <c:v>68</c:v>
                </c:pt>
                <c:pt idx="4">
                  <c:v>84</c:v>
                </c:pt>
                <c:pt idx="5">
                  <c:v>92</c:v>
                </c:pt>
                <c:pt idx="6">
                  <c:v>97</c:v>
                </c:pt>
                <c:pt idx="7">
                  <c:v>99</c:v>
                </c:pt>
                <c:pt idx="8">
                  <c:v>100</c:v>
                </c:pt>
              </c:numCache>
            </c:numRef>
          </c:val>
        </c:ser>
        <c:marker val="1"/>
        <c:axId val="132974848"/>
        <c:axId val="132984832"/>
      </c:lineChart>
      <c:catAx>
        <c:axId val="1329748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2984832"/>
        <c:crosses val="autoZero"/>
        <c:auto val="1"/>
        <c:lblAlgn val="ctr"/>
        <c:lblOffset val="100"/>
      </c:catAx>
      <c:valAx>
        <c:axId val="132984832"/>
        <c:scaling>
          <c:orientation val="minMax"/>
          <c:max val="100"/>
        </c:scaling>
        <c:axPos val="l"/>
        <c:majorGridlines/>
        <c:numFmt formatCode="General" sourceLinked="1"/>
        <c:tickLblPos val="nextTo"/>
        <c:crossAx val="132974848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Quantity of Green M&amp;Ms per Bag</a:t>
            </a:r>
          </a:p>
        </c:rich>
      </c:tx>
    </c:title>
    <c:plotArea>
      <c:layout/>
      <c:barChart>
        <c:barDir val="col"/>
        <c:grouping val="clustered"/>
        <c:ser>
          <c:idx val="1"/>
          <c:order val="0"/>
          <c:tx>
            <c:strRef>
              <c:f>'Green M&amp;Ms'!$I$19</c:f>
              <c:strCache>
                <c:ptCount val="1"/>
                <c:pt idx="0">
                  <c:v>Quantity</c:v>
                </c:pt>
              </c:strCache>
            </c:strRef>
          </c:tx>
          <c:spPr>
            <a:solidFill>
              <a:srgbClr val="00B050"/>
            </a:solidFill>
          </c:spPr>
          <c:dLbls>
            <c:showVal val="1"/>
          </c:dLbls>
          <c:cat>
            <c:numRef>
              <c:f>'Green M&amp;Ms'!$H$20:$H$35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'Green M&amp;Ms'!$I$20:$I$36</c:f>
              <c:numCache>
                <c:formatCode>General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</c:ser>
        <c:axId val="133028480"/>
        <c:axId val="133034752"/>
      </c:barChart>
      <c:catAx>
        <c:axId val="133028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Quantity of M&amp;Ms</a:t>
                </a:r>
              </a:p>
            </c:rich>
          </c:tx>
        </c:title>
        <c:numFmt formatCode="General" sourceLinked="1"/>
        <c:tickLblPos val="nextTo"/>
        <c:crossAx val="133034752"/>
        <c:crosses val="autoZero"/>
        <c:auto val="1"/>
        <c:lblAlgn val="ctr"/>
        <c:lblOffset val="100"/>
        <c:tickLblSkip val="1"/>
      </c:catAx>
      <c:valAx>
        <c:axId val="1330347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bags</a:t>
                </a:r>
              </a:p>
            </c:rich>
          </c:tx>
        </c:title>
        <c:numFmt formatCode="General" sourceLinked="1"/>
        <c:tickLblPos val="nextTo"/>
        <c:crossAx val="133028480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Binomial Probability</a:t>
            </a:r>
          </a:p>
        </c:rich>
      </c:tx>
      <c:layout>
        <c:manualLayout>
          <c:xMode val="edge"/>
          <c:yMode val="edge"/>
          <c:x val="0.36217270616042274"/>
          <c:y val="5.1851851851851864E-2"/>
        </c:manualLayout>
      </c:layout>
    </c:title>
    <c:plotArea>
      <c:layout>
        <c:manualLayout>
          <c:layoutTarget val="inner"/>
          <c:xMode val="edge"/>
          <c:yMode val="edge"/>
          <c:x val="7.5184620247076839E-2"/>
          <c:y val="4.1120443277923566E-2"/>
          <c:w val="0.91385634387324355"/>
          <c:h val="0.85709857101195686"/>
        </c:manualLayout>
      </c:layout>
      <c:barChart>
        <c:barDir val="col"/>
        <c:grouping val="clustered"/>
        <c:ser>
          <c:idx val="0"/>
          <c:order val="0"/>
          <c:tx>
            <c:strRef>
              <c:f>'Binomial Distribution'!$V$2</c:f>
              <c:strCache>
                <c:ptCount val="1"/>
                <c:pt idx="0">
                  <c:v>Cumulative Probability</c:v>
                </c:pt>
              </c:strCache>
            </c:strRef>
          </c:tx>
          <c:cat>
            <c:numRef>
              <c:f>'Binomial Distribution'!$U$3:$U$53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'Binomial Distribution'!$V$3:$V$53</c:f>
              <c:numCache>
                <c:formatCode>0.000</c:formatCode>
                <c:ptCount val="51"/>
                <c:pt idx="0">
                  <c:v>9.765625E-4</c:v>
                </c:pt>
                <c:pt idx="1">
                  <c:v>9.765625E-3</c:v>
                </c:pt>
                <c:pt idx="2">
                  <c:v>4.3945312500000007E-2</c:v>
                </c:pt>
                <c:pt idx="3">
                  <c:v>0.11718750000000006</c:v>
                </c:pt>
                <c:pt idx="4">
                  <c:v>0.20507812500000006</c:v>
                </c:pt>
                <c:pt idx="5">
                  <c:v>0.24609375</c:v>
                </c:pt>
                <c:pt idx="6">
                  <c:v>0.20507812500000006</c:v>
                </c:pt>
                <c:pt idx="7">
                  <c:v>0.11718750000000006</c:v>
                </c:pt>
                <c:pt idx="8">
                  <c:v>4.3945312500000007E-2</c:v>
                </c:pt>
                <c:pt idx="9">
                  <c:v>9.765625E-3</c:v>
                </c:pt>
                <c:pt idx="10">
                  <c:v>9.765625E-4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1"/>
          <c:order val="1"/>
          <c:tx>
            <c:strRef>
              <c:f>'Binomial Distribution'!$W$2</c:f>
              <c:strCache>
                <c:ptCount val="1"/>
                <c:pt idx="0">
                  <c:v>Prob. of Success</c:v>
                </c:pt>
              </c:strCache>
            </c:strRef>
          </c:tx>
          <c:cat>
            <c:numRef>
              <c:f>'Binomial Distribution'!$U$3:$U$53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'Binomial Distribution'!$W$3:$W$53</c:f>
              <c:numCache>
                <c:formatCode>0.000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0.24609375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overlap val="100"/>
        <c:axId val="133297664"/>
        <c:axId val="133299200"/>
      </c:barChart>
      <c:catAx>
        <c:axId val="133297664"/>
        <c:scaling>
          <c:orientation val="minMax"/>
        </c:scaling>
        <c:axPos val="b"/>
        <c:numFmt formatCode="General" sourceLinked="1"/>
        <c:tickLblPos val="nextTo"/>
        <c:crossAx val="133299200"/>
        <c:crosses val="autoZero"/>
        <c:auto val="1"/>
        <c:lblAlgn val="ctr"/>
        <c:lblOffset val="100"/>
        <c:tickLblSkip val="2"/>
        <c:tickMarkSkip val="1"/>
      </c:catAx>
      <c:valAx>
        <c:axId val="133299200"/>
        <c:scaling>
          <c:orientation val="minMax"/>
        </c:scaling>
        <c:axPos val="l"/>
        <c:majorGridlines/>
        <c:numFmt formatCode="0.000" sourceLinked="1"/>
        <c:tickLblPos val="nextTo"/>
        <c:crossAx val="133297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537604265435403"/>
          <c:y val="0.2071003207932342"/>
          <c:w val="0.18972140201224952"/>
          <c:h val="0.13357646083713307"/>
        </c:manualLayout>
      </c:layout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Normal</a:t>
            </a:r>
            <a:r>
              <a:rPr lang="en-US" baseline="0"/>
              <a:t> Distribution (</a:t>
            </a:r>
            <a:r>
              <a:rPr lang="en-US" baseline="0">
                <a:solidFill>
                  <a:srgbClr val="0070C0"/>
                </a:solidFill>
              </a:rPr>
              <a:t>Prob. of Interest</a:t>
            </a:r>
            <a:r>
              <a:rPr lang="en-US" baseline="0"/>
              <a:t>)</a:t>
            </a:r>
            <a:endParaRPr lang="en-US"/>
          </a:p>
        </c:rich>
      </c:tx>
      <c:layout/>
    </c:title>
    <c:plotArea>
      <c:layout/>
      <c:areaChart>
        <c:grouping val="standard"/>
        <c:ser>
          <c:idx val="1"/>
          <c:order val="0"/>
          <c:tx>
            <c:v>Outline</c:v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cat>
            <c:numRef>
              <c:f>'Normal Dist.'!$Z$13:$Z$73</c:f>
              <c:numCache>
                <c:formatCode>General</c:formatCode>
                <c:ptCount val="61"/>
                <c:pt idx="0">
                  <c:v>807.81002441923431</c:v>
                </c:pt>
                <c:pt idx="1">
                  <c:v>808.44135693859323</c:v>
                </c:pt>
                <c:pt idx="2">
                  <c:v>809.07268945795204</c:v>
                </c:pt>
                <c:pt idx="3">
                  <c:v>809.70402197731084</c:v>
                </c:pt>
                <c:pt idx="4">
                  <c:v>810.33535449666977</c:v>
                </c:pt>
                <c:pt idx="5">
                  <c:v>810.96668701602857</c:v>
                </c:pt>
                <c:pt idx="6">
                  <c:v>811.59801953538749</c:v>
                </c:pt>
                <c:pt idx="7">
                  <c:v>812.2293520547463</c:v>
                </c:pt>
                <c:pt idx="8">
                  <c:v>812.86068457410522</c:v>
                </c:pt>
                <c:pt idx="9">
                  <c:v>813.49201709346403</c:v>
                </c:pt>
                <c:pt idx="10">
                  <c:v>814.12334961282284</c:v>
                </c:pt>
                <c:pt idx="11">
                  <c:v>814.75468213218176</c:v>
                </c:pt>
                <c:pt idx="12">
                  <c:v>815.38601465154056</c:v>
                </c:pt>
                <c:pt idx="13">
                  <c:v>816.01734717089948</c:v>
                </c:pt>
                <c:pt idx="14">
                  <c:v>816.64867969025829</c:v>
                </c:pt>
                <c:pt idx="15">
                  <c:v>817.28001220961721</c:v>
                </c:pt>
                <c:pt idx="16">
                  <c:v>817.91134472897602</c:v>
                </c:pt>
                <c:pt idx="17">
                  <c:v>818.54267724833483</c:v>
                </c:pt>
                <c:pt idx="18">
                  <c:v>819.17400976769375</c:v>
                </c:pt>
                <c:pt idx="19">
                  <c:v>819.80534228705255</c:v>
                </c:pt>
                <c:pt idx="20">
                  <c:v>820.43667480641147</c:v>
                </c:pt>
                <c:pt idx="21">
                  <c:v>821.06800732577028</c:v>
                </c:pt>
                <c:pt idx="22">
                  <c:v>821.6993398451292</c:v>
                </c:pt>
                <c:pt idx="23">
                  <c:v>822.33067236448801</c:v>
                </c:pt>
                <c:pt idx="24">
                  <c:v>822.96200488384682</c:v>
                </c:pt>
                <c:pt idx="25">
                  <c:v>823.59333740320574</c:v>
                </c:pt>
                <c:pt idx="26">
                  <c:v>824.22466992256454</c:v>
                </c:pt>
                <c:pt idx="27">
                  <c:v>824.85600244192347</c:v>
                </c:pt>
                <c:pt idx="28">
                  <c:v>825.48733496128227</c:v>
                </c:pt>
                <c:pt idx="29">
                  <c:v>826.11866748064119</c:v>
                </c:pt>
                <c:pt idx="30">
                  <c:v>826.75</c:v>
                </c:pt>
                <c:pt idx="31">
                  <c:v>827.38133251935881</c:v>
                </c:pt>
                <c:pt idx="32">
                  <c:v>828.01266503871773</c:v>
                </c:pt>
                <c:pt idx="33">
                  <c:v>828.64399755807653</c:v>
                </c:pt>
                <c:pt idx="34">
                  <c:v>829.27533007743546</c:v>
                </c:pt>
                <c:pt idx="35">
                  <c:v>829.90666259679426</c:v>
                </c:pt>
                <c:pt idx="36">
                  <c:v>830.53799511615318</c:v>
                </c:pt>
                <c:pt idx="37">
                  <c:v>831.16932763551199</c:v>
                </c:pt>
                <c:pt idx="38">
                  <c:v>831.8006601548708</c:v>
                </c:pt>
                <c:pt idx="39">
                  <c:v>832.43199267422972</c:v>
                </c:pt>
                <c:pt idx="40">
                  <c:v>833.06332519358853</c:v>
                </c:pt>
                <c:pt idx="41">
                  <c:v>833.69465771294745</c:v>
                </c:pt>
                <c:pt idx="42">
                  <c:v>834.32599023230625</c:v>
                </c:pt>
                <c:pt idx="43">
                  <c:v>834.95732275166517</c:v>
                </c:pt>
                <c:pt idx="44">
                  <c:v>835.58865527102398</c:v>
                </c:pt>
                <c:pt idx="45">
                  <c:v>836.21998779038279</c:v>
                </c:pt>
                <c:pt idx="46">
                  <c:v>836.85132030974171</c:v>
                </c:pt>
                <c:pt idx="47">
                  <c:v>837.48265282910052</c:v>
                </c:pt>
                <c:pt idx="48">
                  <c:v>838.11398534845944</c:v>
                </c:pt>
                <c:pt idx="49">
                  <c:v>838.74531786781824</c:v>
                </c:pt>
                <c:pt idx="50">
                  <c:v>839.37665038717716</c:v>
                </c:pt>
                <c:pt idx="51">
                  <c:v>840.00798290653597</c:v>
                </c:pt>
                <c:pt idx="52">
                  <c:v>840.63931542589478</c:v>
                </c:pt>
                <c:pt idx="53">
                  <c:v>841.2706479452537</c:v>
                </c:pt>
                <c:pt idx="54">
                  <c:v>841.90198046461251</c:v>
                </c:pt>
                <c:pt idx="55">
                  <c:v>842.53331298397143</c:v>
                </c:pt>
                <c:pt idx="56">
                  <c:v>843.16464550333023</c:v>
                </c:pt>
                <c:pt idx="57">
                  <c:v>843.79597802268916</c:v>
                </c:pt>
                <c:pt idx="58">
                  <c:v>844.42731054204796</c:v>
                </c:pt>
                <c:pt idx="59">
                  <c:v>845.05864306140677</c:v>
                </c:pt>
                <c:pt idx="60">
                  <c:v>845.68997558076569</c:v>
                </c:pt>
              </c:numCache>
            </c:numRef>
          </c:cat>
          <c:val>
            <c:numRef>
              <c:f>'Normal Dist.'!$AA$13:$AA$73</c:f>
              <c:numCache>
                <c:formatCode>General</c:formatCode>
                <c:ptCount val="61"/>
                <c:pt idx="0">
                  <c:v>4.4318484119380067E-3</c:v>
                </c:pt>
                <c:pt idx="1">
                  <c:v>5.9525324197758529E-3</c:v>
                </c:pt>
                <c:pt idx="2">
                  <c:v>7.9154515829799668E-3</c:v>
                </c:pt>
                <c:pt idx="3">
                  <c:v>1.042093481442259E-2</c:v>
                </c:pt>
                <c:pt idx="4">
                  <c:v>1.3582969233685611E-2</c:v>
                </c:pt>
                <c:pt idx="5">
                  <c:v>1.7528300493568537E-2</c:v>
                </c:pt>
                <c:pt idx="6">
                  <c:v>2.2394530294842896E-2</c:v>
                </c:pt>
                <c:pt idx="7">
                  <c:v>2.8327037741601183E-2</c:v>
                </c:pt>
                <c:pt idx="8">
                  <c:v>3.5474592846231418E-2</c:v>
                </c:pt>
                <c:pt idx="9">
                  <c:v>4.3983595980427184E-2</c:v>
                </c:pt>
                <c:pt idx="10">
                  <c:v>5.3990966513188049E-2</c:v>
                </c:pt>
                <c:pt idx="11">
                  <c:v>6.5615814774676581E-2</c:v>
                </c:pt>
                <c:pt idx="12">
                  <c:v>7.8950158300894135E-2</c:v>
                </c:pt>
                <c:pt idx="13">
                  <c:v>9.4049077376886933E-2</c:v>
                </c:pt>
                <c:pt idx="14">
                  <c:v>0.11092083467945553</c:v>
                </c:pt>
                <c:pt idx="15">
                  <c:v>0.12951759566589172</c:v>
                </c:pt>
                <c:pt idx="16">
                  <c:v>0.14972746563574485</c:v>
                </c:pt>
                <c:pt idx="17">
                  <c:v>0.17136859204780733</c:v>
                </c:pt>
                <c:pt idx="18">
                  <c:v>0.19418605498321292</c:v>
                </c:pt>
                <c:pt idx="19">
                  <c:v>0.2178521770325505</c:v>
                </c:pt>
                <c:pt idx="20">
                  <c:v>0.24197072451914334</c:v>
                </c:pt>
                <c:pt idx="21">
                  <c:v>0.26608524989875482</c:v>
                </c:pt>
                <c:pt idx="22">
                  <c:v>0.28969155276148267</c:v>
                </c:pt>
                <c:pt idx="23">
                  <c:v>0.31225393336676122</c:v>
                </c:pt>
                <c:pt idx="24">
                  <c:v>0.33322460289179962</c:v>
                </c:pt>
                <c:pt idx="25">
                  <c:v>0.35206532676429947</c:v>
                </c:pt>
                <c:pt idx="26">
                  <c:v>0.36827014030332328</c:v>
                </c:pt>
                <c:pt idx="27">
                  <c:v>0.38138781546052408</c:v>
                </c:pt>
                <c:pt idx="28">
                  <c:v>0.39104269397545582</c:v>
                </c:pt>
                <c:pt idx="29">
                  <c:v>0.39695254747701175</c:v>
                </c:pt>
                <c:pt idx="30">
                  <c:v>0.39894228040143265</c:v>
                </c:pt>
                <c:pt idx="31">
                  <c:v>0.39695254747701175</c:v>
                </c:pt>
                <c:pt idx="32">
                  <c:v>0.39104269397545582</c:v>
                </c:pt>
                <c:pt idx="33">
                  <c:v>0.38138781546052408</c:v>
                </c:pt>
                <c:pt idx="34">
                  <c:v>0.36827014030332328</c:v>
                </c:pt>
                <c:pt idx="35">
                  <c:v>0.35206532676429947</c:v>
                </c:pt>
                <c:pt idx="36">
                  <c:v>0.33322460289179962</c:v>
                </c:pt>
                <c:pt idx="37">
                  <c:v>0.31225393336676122</c:v>
                </c:pt>
                <c:pt idx="38">
                  <c:v>0.28969155276148267</c:v>
                </c:pt>
                <c:pt idx="39">
                  <c:v>0.26608524989875482</c:v>
                </c:pt>
                <c:pt idx="40">
                  <c:v>0.24197072451914334</c:v>
                </c:pt>
                <c:pt idx="41">
                  <c:v>0.2178521770325505</c:v>
                </c:pt>
                <c:pt idx="42">
                  <c:v>0.19418605498321292</c:v>
                </c:pt>
                <c:pt idx="43">
                  <c:v>0.17136859204780733</c:v>
                </c:pt>
                <c:pt idx="44">
                  <c:v>0.14972746563574485</c:v>
                </c:pt>
                <c:pt idx="45">
                  <c:v>0.12951759566589172</c:v>
                </c:pt>
                <c:pt idx="46">
                  <c:v>0.11092083467945553</c:v>
                </c:pt>
                <c:pt idx="47">
                  <c:v>9.4049077376886933E-2</c:v>
                </c:pt>
                <c:pt idx="48">
                  <c:v>7.8950158300894135E-2</c:v>
                </c:pt>
                <c:pt idx="49">
                  <c:v>6.5615814774676581E-2</c:v>
                </c:pt>
                <c:pt idx="50">
                  <c:v>5.3990966513188049E-2</c:v>
                </c:pt>
                <c:pt idx="51">
                  <c:v>4.3983595980427184E-2</c:v>
                </c:pt>
                <c:pt idx="52">
                  <c:v>3.5474592846231418E-2</c:v>
                </c:pt>
                <c:pt idx="53">
                  <c:v>2.8327037741601183E-2</c:v>
                </c:pt>
                <c:pt idx="54">
                  <c:v>2.2394530294842896E-2</c:v>
                </c:pt>
                <c:pt idx="55">
                  <c:v>1.7528300493568537E-2</c:v>
                </c:pt>
                <c:pt idx="56">
                  <c:v>1.3582969233685611E-2</c:v>
                </c:pt>
                <c:pt idx="57">
                  <c:v>1.042093481442259E-2</c:v>
                </c:pt>
                <c:pt idx="58">
                  <c:v>7.9154515829799668E-3</c:v>
                </c:pt>
                <c:pt idx="59">
                  <c:v>5.9525324197758529E-3</c:v>
                </c:pt>
                <c:pt idx="60">
                  <c:v>4.4318484119380067E-3</c:v>
                </c:pt>
              </c:numCache>
            </c:numRef>
          </c:val>
        </c:ser>
        <c:ser>
          <c:idx val="2"/>
          <c:order val="1"/>
          <c:tx>
            <c:v>"Probability Area"</c:v>
          </c:tx>
          <c:spPr>
            <a:solidFill>
              <a:srgbClr val="0070C0"/>
            </a:solidFill>
            <a:ln>
              <a:solidFill>
                <a:schemeClr val="tx1"/>
              </a:solidFill>
            </a:ln>
          </c:spPr>
          <c:cat>
            <c:numRef>
              <c:f>'Normal Dist.'!$Z$13:$Z$73</c:f>
              <c:numCache>
                <c:formatCode>General</c:formatCode>
                <c:ptCount val="61"/>
                <c:pt idx="0">
                  <c:v>807.81002441923431</c:v>
                </c:pt>
                <c:pt idx="1">
                  <c:v>808.44135693859323</c:v>
                </c:pt>
                <c:pt idx="2">
                  <c:v>809.07268945795204</c:v>
                </c:pt>
                <c:pt idx="3">
                  <c:v>809.70402197731084</c:v>
                </c:pt>
                <c:pt idx="4">
                  <c:v>810.33535449666977</c:v>
                </c:pt>
                <c:pt idx="5">
                  <c:v>810.96668701602857</c:v>
                </c:pt>
                <c:pt idx="6">
                  <c:v>811.59801953538749</c:v>
                </c:pt>
                <c:pt idx="7">
                  <c:v>812.2293520547463</c:v>
                </c:pt>
                <c:pt idx="8">
                  <c:v>812.86068457410522</c:v>
                </c:pt>
                <c:pt idx="9">
                  <c:v>813.49201709346403</c:v>
                </c:pt>
                <c:pt idx="10">
                  <c:v>814.12334961282284</c:v>
                </c:pt>
                <c:pt idx="11">
                  <c:v>814.75468213218176</c:v>
                </c:pt>
                <c:pt idx="12">
                  <c:v>815.38601465154056</c:v>
                </c:pt>
                <c:pt idx="13">
                  <c:v>816.01734717089948</c:v>
                </c:pt>
                <c:pt idx="14">
                  <c:v>816.64867969025829</c:v>
                </c:pt>
                <c:pt idx="15">
                  <c:v>817.28001220961721</c:v>
                </c:pt>
                <c:pt idx="16">
                  <c:v>817.91134472897602</c:v>
                </c:pt>
                <c:pt idx="17">
                  <c:v>818.54267724833483</c:v>
                </c:pt>
                <c:pt idx="18">
                  <c:v>819.17400976769375</c:v>
                </c:pt>
                <c:pt idx="19">
                  <c:v>819.80534228705255</c:v>
                </c:pt>
                <c:pt idx="20">
                  <c:v>820.43667480641147</c:v>
                </c:pt>
                <c:pt idx="21">
                  <c:v>821.06800732577028</c:v>
                </c:pt>
                <c:pt idx="22">
                  <c:v>821.6993398451292</c:v>
                </c:pt>
                <c:pt idx="23">
                  <c:v>822.33067236448801</c:v>
                </c:pt>
                <c:pt idx="24">
                  <c:v>822.96200488384682</c:v>
                </c:pt>
                <c:pt idx="25">
                  <c:v>823.59333740320574</c:v>
                </c:pt>
                <c:pt idx="26">
                  <c:v>824.22466992256454</c:v>
                </c:pt>
                <c:pt idx="27">
                  <c:v>824.85600244192347</c:v>
                </c:pt>
                <c:pt idx="28">
                  <c:v>825.48733496128227</c:v>
                </c:pt>
                <c:pt idx="29">
                  <c:v>826.11866748064119</c:v>
                </c:pt>
                <c:pt idx="30">
                  <c:v>826.75</c:v>
                </c:pt>
                <c:pt idx="31">
                  <c:v>827.38133251935881</c:v>
                </c:pt>
                <c:pt idx="32">
                  <c:v>828.01266503871773</c:v>
                </c:pt>
                <c:pt idx="33">
                  <c:v>828.64399755807653</c:v>
                </c:pt>
                <c:pt idx="34">
                  <c:v>829.27533007743546</c:v>
                </c:pt>
                <c:pt idx="35">
                  <c:v>829.90666259679426</c:v>
                </c:pt>
                <c:pt idx="36">
                  <c:v>830.53799511615318</c:v>
                </c:pt>
                <c:pt idx="37">
                  <c:v>831.16932763551199</c:v>
                </c:pt>
                <c:pt idx="38">
                  <c:v>831.8006601548708</c:v>
                </c:pt>
                <c:pt idx="39">
                  <c:v>832.43199267422972</c:v>
                </c:pt>
                <c:pt idx="40">
                  <c:v>833.06332519358853</c:v>
                </c:pt>
                <c:pt idx="41">
                  <c:v>833.69465771294745</c:v>
                </c:pt>
                <c:pt idx="42">
                  <c:v>834.32599023230625</c:v>
                </c:pt>
                <c:pt idx="43">
                  <c:v>834.95732275166517</c:v>
                </c:pt>
                <c:pt idx="44">
                  <c:v>835.58865527102398</c:v>
                </c:pt>
                <c:pt idx="45">
                  <c:v>836.21998779038279</c:v>
                </c:pt>
                <c:pt idx="46">
                  <c:v>836.85132030974171</c:v>
                </c:pt>
                <c:pt idx="47">
                  <c:v>837.48265282910052</c:v>
                </c:pt>
                <c:pt idx="48">
                  <c:v>838.11398534845944</c:v>
                </c:pt>
                <c:pt idx="49">
                  <c:v>838.74531786781824</c:v>
                </c:pt>
                <c:pt idx="50">
                  <c:v>839.37665038717716</c:v>
                </c:pt>
                <c:pt idx="51">
                  <c:v>840.00798290653597</c:v>
                </c:pt>
                <c:pt idx="52">
                  <c:v>840.63931542589478</c:v>
                </c:pt>
                <c:pt idx="53">
                  <c:v>841.2706479452537</c:v>
                </c:pt>
                <c:pt idx="54">
                  <c:v>841.90198046461251</c:v>
                </c:pt>
                <c:pt idx="55">
                  <c:v>842.53331298397143</c:v>
                </c:pt>
                <c:pt idx="56">
                  <c:v>843.16464550333023</c:v>
                </c:pt>
                <c:pt idx="57">
                  <c:v>843.79597802268916</c:v>
                </c:pt>
                <c:pt idx="58">
                  <c:v>844.42731054204796</c:v>
                </c:pt>
                <c:pt idx="59">
                  <c:v>845.05864306140677</c:v>
                </c:pt>
                <c:pt idx="60">
                  <c:v>845.68997558076569</c:v>
                </c:pt>
              </c:numCache>
            </c:numRef>
          </c:cat>
          <c:val>
            <c:numRef>
              <c:f>'Normal Dist.'!$AB$13:$AB$73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6.5615814774676581E-2</c:v>
                </c:pt>
                <c:pt idx="12">
                  <c:v>7.8950158300894135E-2</c:v>
                </c:pt>
                <c:pt idx="13">
                  <c:v>9.4049077376886933E-2</c:v>
                </c:pt>
                <c:pt idx="14">
                  <c:v>0.11092083467945553</c:v>
                </c:pt>
                <c:pt idx="15">
                  <c:v>0.12951759566589172</c:v>
                </c:pt>
                <c:pt idx="16">
                  <c:v>0.14972746563574485</c:v>
                </c:pt>
                <c:pt idx="17">
                  <c:v>0.17136859204780733</c:v>
                </c:pt>
                <c:pt idx="18">
                  <c:v>0.19418605498321292</c:v>
                </c:pt>
                <c:pt idx="19">
                  <c:v>0.2178521770325505</c:v>
                </c:pt>
                <c:pt idx="20">
                  <c:v>0.24197072451914334</c:v>
                </c:pt>
                <c:pt idx="21">
                  <c:v>0.26608524989875482</c:v>
                </c:pt>
                <c:pt idx="22">
                  <c:v>0.28969155276148267</c:v>
                </c:pt>
                <c:pt idx="23">
                  <c:v>0.31225393336676122</c:v>
                </c:pt>
                <c:pt idx="24">
                  <c:v>0.33322460289179962</c:v>
                </c:pt>
                <c:pt idx="25">
                  <c:v>0.35206532676429947</c:v>
                </c:pt>
                <c:pt idx="26">
                  <c:v>0.36827014030332328</c:v>
                </c:pt>
                <c:pt idx="27">
                  <c:v>0.38138781546052408</c:v>
                </c:pt>
                <c:pt idx="28">
                  <c:v>0.39104269397545582</c:v>
                </c:pt>
                <c:pt idx="29">
                  <c:v>0.39695254747701175</c:v>
                </c:pt>
                <c:pt idx="30">
                  <c:v>0.39894228040143265</c:v>
                </c:pt>
                <c:pt idx="31">
                  <c:v>0.39695254747701175</c:v>
                </c:pt>
                <c:pt idx="32">
                  <c:v>0.39104269397545582</c:v>
                </c:pt>
                <c:pt idx="33">
                  <c:v>0.38138781546052408</c:v>
                </c:pt>
                <c:pt idx="34">
                  <c:v>0.36827014030332328</c:v>
                </c:pt>
                <c:pt idx="35">
                  <c:v>0.35206532676429947</c:v>
                </c:pt>
                <c:pt idx="36">
                  <c:v>0.33322460289179962</c:v>
                </c:pt>
                <c:pt idx="37">
                  <c:v>0.31225393336676122</c:v>
                </c:pt>
                <c:pt idx="38">
                  <c:v>0.28969155276148267</c:v>
                </c:pt>
                <c:pt idx="39">
                  <c:v>0.26608524989875482</c:v>
                </c:pt>
                <c:pt idx="40">
                  <c:v>0.24197072451914334</c:v>
                </c:pt>
                <c:pt idx="41">
                  <c:v>0.2178521770325505</c:v>
                </c:pt>
                <c:pt idx="42">
                  <c:v>0.19418605498321292</c:v>
                </c:pt>
                <c:pt idx="43">
                  <c:v>0.17136859204780733</c:v>
                </c:pt>
                <c:pt idx="44">
                  <c:v>0.14972746563574485</c:v>
                </c:pt>
                <c:pt idx="45">
                  <c:v>0.12951759566589172</c:v>
                </c:pt>
                <c:pt idx="46">
                  <c:v>0.11092083467945553</c:v>
                </c:pt>
                <c:pt idx="47">
                  <c:v>9.4049077376886933E-2</c:v>
                </c:pt>
                <c:pt idx="48">
                  <c:v>7.8950158300894135E-2</c:v>
                </c:pt>
                <c:pt idx="49">
                  <c:v>6.5615814774676581E-2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</c:ser>
        <c:axId val="133477504"/>
        <c:axId val="133479040"/>
      </c:areaChart>
      <c:catAx>
        <c:axId val="133477504"/>
        <c:scaling>
          <c:orientation val="minMax"/>
        </c:scaling>
        <c:axPos val="b"/>
        <c:numFmt formatCode="#,##0.00" sourceLinked="0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3479040"/>
        <c:crosses val="autoZero"/>
        <c:auto val="1"/>
        <c:lblAlgn val="ctr"/>
        <c:lblOffset val="100"/>
      </c:catAx>
      <c:valAx>
        <c:axId val="133479040"/>
        <c:scaling>
          <c:orientation val="minMax"/>
        </c:scaling>
        <c:delete val="1"/>
        <c:axPos val="l"/>
        <c:numFmt formatCode="General" sourceLinked="1"/>
        <c:tickLblPos val="nextTo"/>
        <c:crossAx val="133477504"/>
        <c:crosses val="autoZero"/>
        <c:crossBetween val="midCat"/>
      </c:valAx>
    </c:plotArea>
    <c:plotVisOnly val="1"/>
  </c:chart>
  <c:printSettings>
    <c:headerFooter/>
    <c:pageMargins b="0.75000000000000766" l="0.70000000000000062" r="0.70000000000000062" t="0.75000000000000766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'Correlation &amp; Regression'!$C$3</c:f>
              <c:strCache>
                <c:ptCount val="1"/>
                <c:pt idx="0">
                  <c:v>Y Value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6087709199797855"/>
                  <c:y val="0.6103687860293857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600" baseline="0"/>
                      <a:t>y = 1.184x + 18.94
R² = 0.576</a:t>
                    </a:r>
                    <a:endParaRPr lang="en-US" sz="1600"/>
                  </a:p>
                </c:rich>
              </c:tx>
              <c:numFmt formatCode="General" sourceLinked="0"/>
            </c:trendlineLbl>
          </c:trendline>
          <c:xVal>
            <c:numRef>
              <c:f>'Correlation &amp; Regression'!$B$4:$B$13</c:f>
              <c:numCache>
                <c:formatCode>0.0</c:formatCode>
                <c:ptCount val="10"/>
                <c:pt idx="0">
                  <c:v>9</c:v>
                </c:pt>
                <c:pt idx="1">
                  <c:v>94.4</c:v>
                </c:pt>
                <c:pt idx="2">
                  <c:v>27.3</c:v>
                </c:pt>
                <c:pt idx="3">
                  <c:v>179.2</c:v>
                </c:pt>
                <c:pt idx="4">
                  <c:v>71.900000000000006</c:v>
                </c:pt>
                <c:pt idx="5">
                  <c:v>97.9</c:v>
                </c:pt>
                <c:pt idx="6">
                  <c:v>93.5</c:v>
                </c:pt>
                <c:pt idx="7">
                  <c:v>50</c:v>
                </c:pt>
                <c:pt idx="8">
                  <c:v>100</c:v>
                </c:pt>
                <c:pt idx="9">
                  <c:v>96.5</c:v>
                </c:pt>
              </c:numCache>
            </c:numRef>
          </c:xVal>
          <c:yVal>
            <c:numRef>
              <c:f>'Correlation &amp; Regression'!$C$4:$C$13</c:f>
              <c:numCache>
                <c:formatCode>0.0</c:formatCode>
                <c:ptCount val="10"/>
                <c:pt idx="0">
                  <c:v>10.8</c:v>
                </c:pt>
                <c:pt idx="1">
                  <c:v>11.3</c:v>
                </c:pt>
                <c:pt idx="2">
                  <c:v>11.2</c:v>
                </c:pt>
                <c:pt idx="3">
                  <c:v>11.1</c:v>
                </c:pt>
                <c:pt idx="4">
                  <c:v>11.1</c:v>
                </c:pt>
                <c:pt idx="5">
                  <c:v>11.2</c:v>
                </c:pt>
                <c:pt idx="6">
                  <c:v>11</c:v>
                </c:pt>
                <c:pt idx="7">
                  <c:v>10.7</c:v>
                </c:pt>
                <c:pt idx="8">
                  <c:v>11.3</c:v>
                </c:pt>
                <c:pt idx="9">
                  <c:v>11</c:v>
                </c:pt>
              </c:numCache>
            </c:numRef>
          </c:yVal>
        </c:ser>
        <c:axId val="133563136"/>
        <c:axId val="133564672"/>
      </c:scatterChart>
      <c:valAx>
        <c:axId val="133563136"/>
        <c:scaling>
          <c:orientation val="minMax"/>
        </c:scaling>
        <c:axPos val="b"/>
        <c:numFmt formatCode="0.0" sourceLinked="1"/>
        <c:tickLblPos val="nextTo"/>
        <c:crossAx val="133564672"/>
        <c:crosses val="autoZero"/>
        <c:crossBetween val="midCat"/>
      </c:valAx>
      <c:valAx>
        <c:axId val="133564672"/>
        <c:scaling>
          <c:orientation val="minMax"/>
        </c:scaling>
        <c:axPos val="l"/>
        <c:majorGridlines/>
        <c:numFmt formatCode="0.0" sourceLinked="1"/>
        <c:tickLblPos val="nextTo"/>
        <c:crossAx val="133563136"/>
        <c:crosses val="autoZero"/>
        <c:crossBetween val="midCat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85725</xdr:rowOff>
    </xdr:from>
    <xdr:to>
      <xdr:col>11</xdr:col>
      <xdr:colOff>323850</xdr:colOff>
      <xdr:row>14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16</xdr:row>
      <xdr:rowOff>0</xdr:rowOff>
    </xdr:from>
    <xdr:to>
      <xdr:col>11</xdr:col>
      <xdr:colOff>285750</xdr:colOff>
      <xdr:row>30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409575</xdr:colOff>
      <xdr:row>0</xdr:row>
      <xdr:rowOff>85725</xdr:rowOff>
    </xdr:from>
    <xdr:to>
      <xdr:col>19</xdr:col>
      <xdr:colOff>104775</xdr:colOff>
      <xdr:row>14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0</xdr:row>
      <xdr:rowOff>47625</xdr:rowOff>
    </xdr:from>
    <xdr:to>
      <xdr:col>25</xdr:col>
      <xdr:colOff>457200</xdr:colOff>
      <xdr:row>14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161925</xdr:colOff>
      <xdr:row>14</xdr:row>
      <xdr:rowOff>171450</xdr:rowOff>
    </xdr:from>
    <xdr:to>
      <xdr:col>25</xdr:col>
      <xdr:colOff>466725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152400</xdr:colOff>
      <xdr:row>29</xdr:row>
      <xdr:rowOff>104775</xdr:rowOff>
    </xdr:from>
    <xdr:to>
      <xdr:col>25</xdr:col>
      <xdr:colOff>457200</xdr:colOff>
      <xdr:row>43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18</xdr:row>
      <xdr:rowOff>9524</xdr:rowOff>
    </xdr:from>
    <xdr:to>
      <xdr:col>17</xdr:col>
      <xdr:colOff>219075</xdr:colOff>
      <xdr:row>35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35</xdr:row>
      <xdr:rowOff>9524</xdr:rowOff>
    </xdr:from>
    <xdr:to>
      <xdr:col>19</xdr:col>
      <xdr:colOff>1</xdr:colOff>
      <xdr:row>53</xdr:row>
      <xdr:rowOff>19049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25</xdr:row>
      <xdr:rowOff>95249</xdr:rowOff>
    </xdr:from>
    <xdr:to>
      <xdr:col>8</xdr:col>
      <xdr:colOff>581025</xdr:colOff>
      <xdr:row>45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24</xdr:row>
      <xdr:rowOff>171450</xdr:rowOff>
    </xdr:from>
    <xdr:to>
      <xdr:col>13</xdr:col>
      <xdr:colOff>180512</xdr:colOff>
      <xdr:row>34</xdr:row>
      <xdr:rowOff>9305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248525" y="4791075"/>
          <a:ext cx="3704762" cy="17619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304800</xdr:colOff>
      <xdr:row>58</xdr:row>
      <xdr:rowOff>190500</xdr:rowOff>
    </xdr:from>
    <xdr:to>
      <xdr:col>13</xdr:col>
      <xdr:colOff>199559</xdr:colOff>
      <xdr:row>68</xdr:row>
      <xdr:rowOff>47404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7239000" y="11325225"/>
          <a:ext cx="3733334" cy="17714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19050</xdr:colOff>
      <xdr:row>7</xdr:row>
      <xdr:rowOff>190500</xdr:rowOff>
    </xdr:from>
    <xdr:to>
      <xdr:col>13</xdr:col>
      <xdr:colOff>237657</xdr:colOff>
      <xdr:row>17</xdr:row>
      <xdr:rowOff>47400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>
          <a:off x="7267575" y="1524000"/>
          <a:ext cx="3742857" cy="180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39</xdr:row>
      <xdr:rowOff>142875</xdr:rowOff>
    </xdr:from>
    <xdr:to>
      <xdr:col>13</xdr:col>
      <xdr:colOff>218607</xdr:colOff>
      <xdr:row>49</xdr:row>
      <xdr:rowOff>28350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7248525" y="7639050"/>
          <a:ext cx="3742857" cy="180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13</xdr:col>
      <xdr:colOff>218607</xdr:colOff>
      <xdr:row>86</xdr:row>
      <xdr:rowOff>85500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 bwMode="auto">
        <a:xfrm>
          <a:off x="7248525" y="14782800"/>
          <a:ext cx="3742857" cy="180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152402</xdr:colOff>
      <xdr:row>16</xdr:row>
      <xdr:rowOff>127000</xdr:rowOff>
    </xdr:from>
    <xdr:to>
      <xdr:col>17</xdr:col>
      <xdr:colOff>390032</xdr:colOff>
      <xdr:row>34</xdr:row>
      <xdr:rowOff>145618</xdr:rowOff>
    </xdr:to>
    <xdr:pic>
      <xdr:nvPicPr>
        <xdr:cNvPr id="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8867777" y="3175000"/>
          <a:ext cx="3961905" cy="3457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612912</xdr:colOff>
      <xdr:row>3</xdr:row>
      <xdr:rowOff>82826</xdr:rowOff>
    </xdr:from>
    <xdr:to>
      <xdr:col>9</xdr:col>
      <xdr:colOff>737151</xdr:colOff>
      <xdr:row>26</xdr:row>
      <xdr:rowOff>182217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22</xdr:row>
      <xdr:rowOff>0</xdr:rowOff>
    </xdr:from>
    <xdr:to>
      <xdr:col>9</xdr:col>
      <xdr:colOff>152400</xdr:colOff>
      <xdr:row>40</xdr:row>
      <xdr:rowOff>28575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4248150"/>
          <a:ext cx="3962400" cy="3457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/>
  </sheetViews>
  <sheetFormatPr defaultRowHeight="15"/>
  <sheetData>
    <row r="1" spans="1:3">
      <c r="A1" t="s">
        <v>0</v>
      </c>
    </row>
    <row r="3" spans="1:3">
      <c r="A3" s="177" t="s">
        <v>1</v>
      </c>
      <c r="B3" s="178"/>
    </row>
    <row r="4" spans="1:3">
      <c r="A4" s="1" t="s">
        <v>2</v>
      </c>
      <c r="B4" s="1" t="s">
        <v>3</v>
      </c>
      <c r="C4" t="s">
        <v>4</v>
      </c>
    </row>
    <row r="5" spans="1:3">
      <c r="A5" s="1" t="s">
        <v>5</v>
      </c>
      <c r="B5" s="1">
        <v>3</v>
      </c>
      <c r="C5" s="2">
        <f t="shared" ref="C5:C10" si="0">B5/$B$11</f>
        <v>0.15789473684210525</v>
      </c>
    </row>
    <row r="6" spans="1:3">
      <c r="A6" s="1" t="s">
        <v>6</v>
      </c>
      <c r="B6" s="1">
        <v>3</v>
      </c>
      <c r="C6" s="2">
        <f t="shared" si="0"/>
        <v>0.15789473684210525</v>
      </c>
    </row>
    <row r="7" spans="1:3">
      <c r="A7" s="1" t="s">
        <v>7</v>
      </c>
      <c r="B7" s="1">
        <v>1</v>
      </c>
      <c r="C7" s="2">
        <f t="shared" si="0"/>
        <v>5.2631578947368418E-2</v>
      </c>
    </row>
    <row r="8" spans="1:3">
      <c r="A8" s="1" t="s">
        <v>8</v>
      </c>
      <c r="B8" s="1">
        <v>3</v>
      </c>
      <c r="C8" s="2">
        <f t="shared" si="0"/>
        <v>0.15789473684210525</v>
      </c>
    </row>
    <row r="9" spans="1:3">
      <c r="A9" s="1" t="s">
        <v>9</v>
      </c>
      <c r="B9" s="1">
        <v>4</v>
      </c>
      <c r="C9" s="2">
        <f t="shared" si="0"/>
        <v>0.21052631578947367</v>
      </c>
    </row>
    <row r="10" spans="1:3">
      <c r="A10" s="1" t="s">
        <v>10</v>
      </c>
      <c r="B10" s="1">
        <v>5</v>
      </c>
      <c r="C10" s="2">
        <f t="shared" si="0"/>
        <v>0.26315789473684209</v>
      </c>
    </row>
    <row r="11" spans="1:3">
      <c r="A11" s="3" t="s">
        <v>11</v>
      </c>
      <c r="B11" s="4">
        <f>SUM(B5:B10)</f>
        <v>19</v>
      </c>
    </row>
  </sheetData>
  <customSheetViews>
    <customSheetView guid="{9094556B-1172-42A9-AACE-3CBB4E66E327}">
      <pageMargins left="0.7" right="0.7" top="0.75" bottom="0.75" header="0.3" footer="0.3"/>
    </customSheetView>
    <customSheetView guid="{E0CEE470-0FBC-4B40-B93D-97AD4064B6C8}">
      <pageMargins left="0.7" right="0.7" top="0.75" bottom="0.75" header="0.3" footer="0.3"/>
    </customSheetView>
  </customSheetViews>
  <mergeCells count="1">
    <mergeCell ref="A3:B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1"/>
  <sheetViews>
    <sheetView workbookViewId="0"/>
  </sheetViews>
  <sheetFormatPr defaultRowHeight="15"/>
  <cols>
    <col min="8" max="8" width="11.140625" bestFit="1" customWidth="1"/>
    <col min="9" max="9" width="11" bestFit="1" customWidth="1"/>
    <col min="18" max="18" width="11.140625" bestFit="1" customWidth="1"/>
  </cols>
  <sheetData>
    <row r="1" spans="1:18">
      <c r="A1" s="5" t="s">
        <v>12</v>
      </c>
      <c r="B1" s="5" t="s">
        <v>13</v>
      </c>
      <c r="C1" s="5" t="s">
        <v>14</v>
      </c>
      <c r="D1" s="5" t="s">
        <v>15</v>
      </c>
      <c r="E1" s="5" t="s">
        <v>16</v>
      </c>
      <c r="F1" s="5" t="s">
        <v>17</v>
      </c>
      <c r="H1" s="5" t="s">
        <v>18</v>
      </c>
      <c r="I1" s="30" t="s">
        <v>146</v>
      </c>
      <c r="K1" s="179" t="s">
        <v>144</v>
      </c>
      <c r="L1" s="179"/>
      <c r="N1" t="s">
        <v>143</v>
      </c>
    </row>
    <row r="2" spans="1:18">
      <c r="A2" s="5">
        <v>0.87</v>
      </c>
      <c r="B2" s="5">
        <v>0.90300000000000002</v>
      </c>
      <c r="C2" s="5">
        <v>0.90600000000000003</v>
      </c>
      <c r="D2" s="5">
        <v>0.93200000000000005</v>
      </c>
      <c r="E2" s="5">
        <v>0.83799999999999997</v>
      </c>
      <c r="F2" s="5">
        <v>0.91100000000000003</v>
      </c>
      <c r="H2" s="5">
        <v>0.87</v>
      </c>
      <c r="I2" s="6">
        <v>0.83799999999999997</v>
      </c>
      <c r="K2" s="30" t="s">
        <v>19</v>
      </c>
      <c r="L2" s="30" t="s">
        <v>145</v>
      </c>
      <c r="N2" t="s">
        <v>20</v>
      </c>
      <c r="P2" t="s">
        <v>142</v>
      </c>
    </row>
    <row r="3" spans="1:18">
      <c r="A3" s="5">
        <v>0.93300000000000005</v>
      </c>
      <c r="B3" s="5">
        <v>0.92</v>
      </c>
      <c r="C3" s="5">
        <v>0.97799999999999998</v>
      </c>
      <c r="D3" s="5">
        <v>0.86</v>
      </c>
      <c r="E3" s="5">
        <v>0.875</v>
      </c>
      <c r="F3" s="5">
        <v>1.002</v>
      </c>
      <c r="H3" s="5">
        <v>0.93300000000000005</v>
      </c>
      <c r="I3" s="6">
        <v>0.85599999999999998</v>
      </c>
      <c r="K3">
        <v>1</v>
      </c>
      <c r="L3">
        <f>2^K3</f>
        <v>2</v>
      </c>
    </row>
    <row r="4" spans="1:18">
      <c r="A4" s="5">
        <v>0.95199999999999996</v>
      </c>
      <c r="B4" s="5">
        <v>0.86099999999999999</v>
      </c>
      <c r="C4" s="5">
        <v>0.92600000000000005</v>
      </c>
      <c r="D4" s="5">
        <v>0.91900000000000004</v>
      </c>
      <c r="E4" s="5">
        <v>0.87</v>
      </c>
      <c r="F4" s="5">
        <v>0.90200000000000002</v>
      </c>
      <c r="H4" s="5">
        <v>0.95199999999999996</v>
      </c>
      <c r="I4" s="6">
        <v>0.85799999999999998</v>
      </c>
      <c r="K4">
        <v>2</v>
      </c>
      <c r="L4">
        <f t="shared" ref="L4:L12" si="0">2^K4</f>
        <v>4</v>
      </c>
      <c r="N4">
        <f>(I101-I2)/K9</f>
        <v>2.7857142857142851E-2</v>
      </c>
      <c r="P4" t="s">
        <v>140</v>
      </c>
    </row>
    <row r="5" spans="1:18">
      <c r="A5" s="5">
        <v>0.90800000000000003</v>
      </c>
      <c r="B5" s="5">
        <v>1.0089999999999999</v>
      </c>
      <c r="C5" s="5">
        <v>0.86799999999999999</v>
      </c>
      <c r="D5" s="5">
        <v>0.91400000000000003</v>
      </c>
      <c r="E5" s="5">
        <v>0.95599999999999996</v>
      </c>
      <c r="F5" s="5">
        <v>0.93</v>
      </c>
      <c r="H5" s="5">
        <v>0.90800000000000003</v>
      </c>
      <c r="I5" s="6">
        <v>0.86</v>
      </c>
      <c r="K5">
        <v>3</v>
      </c>
      <c r="L5">
        <f t="shared" si="0"/>
        <v>8</v>
      </c>
      <c r="N5">
        <v>2.5000000000000001E-2</v>
      </c>
      <c r="O5">
        <v>0.03</v>
      </c>
      <c r="P5" t="s">
        <v>141</v>
      </c>
    </row>
    <row r="6" spans="1:18">
      <c r="A6" s="5">
        <v>0.91100000000000003</v>
      </c>
      <c r="B6" s="5">
        <v>0.97099999999999997</v>
      </c>
      <c r="C6" s="5">
        <v>0.876</v>
      </c>
      <c r="D6" s="5">
        <v>0.91400000000000003</v>
      </c>
      <c r="E6" s="5">
        <v>0.96799999999999997</v>
      </c>
      <c r="F6" s="5">
        <v>0.94899999999999995</v>
      </c>
      <c r="H6" s="5">
        <v>0.91100000000000003</v>
      </c>
      <c r="I6" s="6">
        <v>0.86099999999999999</v>
      </c>
      <c r="K6">
        <v>4</v>
      </c>
      <c r="L6">
        <f t="shared" si="0"/>
        <v>16</v>
      </c>
    </row>
    <row r="7" spans="1:18">
      <c r="A7" s="5">
        <v>0.90800000000000003</v>
      </c>
      <c r="B7" s="5">
        <v>0.89800000000000002</v>
      </c>
      <c r="C7" s="5">
        <v>0.96799999999999997</v>
      </c>
      <c r="D7" s="5">
        <v>0.90400000000000003</v>
      </c>
      <c r="E7" s="5"/>
      <c r="F7" s="5">
        <v>0.89</v>
      </c>
      <c r="H7" s="5">
        <v>0.90800000000000003</v>
      </c>
      <c r="I7" s="6">
        <v>0.86599999999999999</v>
      </c>
      <c r="K7">
        <v>5</v>
      </c>
      <c r="L7">
        <f t="shared" si="0"/>
        <v>32</v>
      </c>
      <c r="N7" s="4" t="s">
        <v>21</v>
      </c>
      <c r="Q7" t="s">
        <v>22</v>
      </c>
      <c r="R7" t="s">
        <v>25</v>
      </c>
    </row>
    <row r="8" spans="1:18">
      <c r="A8" s="5">
        <v>0.91300000000000003</v>
      </c>
      <c r="B8" s="5">
        <v>0.94199999999999995</v>
      </c>
      <c r="C8" s="5">
        <v>0.92100000000000004</v>
      </c>
      <c r="D8" s="5">
        <v>0.93</v>
      </c>
      <c r="E8" s="5"/>
      <c r="F8" s="5">
        <v>0.90200000000000002</v>
      </c>
      <c r="H8" s="5">
        <v>0.91300000000000003</v>
      </c>
      <c r="I8" s="6">
        <v>0.86699999999999999</v>
      </c>
      <c r="K8">
        <v>6</v>
      </c>
      <c r="L8">
        <f t="shared" si="0"/>
        <v>64</v>
      </c>
      <c r="N8" t="s">
        <v>23</v>
      </c>
      <c r="O8">
        <v>0.82499999999999996</v>
      </c>
      <c r="P8">
        <f t="array" ref="P8:P17">FREQUENCY(I2:I101,O8:O17)</f>
        <v>0</v>
      </c>
    </row>
    <row r="9" spans="1:18">
      <c r="A9" s="5">
        <v>0.98299999999999998</v>
      </c>
      <c r="B9" s="5">
        <v>0.89700000000000002</v>
      </c>
      <c r="C9" s="5">
        <v>0.89300000000000002</v>
      </c>
      <c r="D9" s="5">
        <v>0.871</v>
      </c>
      <c r="E9" s="5"/>
      <c r="F9" s="5"/>
      <c r="H9" s="5">
        <v>0.98299999999999998</v>
      </c>
      <c r="I9" s="6">
        <v>0.86799999999999999</v>
      </c>
      <c r="K9" s="7">
        <v>7</v>
      </c>
      <c r="L9" s="7">
        <f t="shared" si="0"/>
        <v>128</v>
      </c>
      <c r="O9">
        <f>O8+0.025</f>
        <v>0.85</v>
      </c>
      <c r="P9">
        <v>1</v>
      </c>
      <c r="Q9">
        <f>AVERAGE(O8:O9)</f>
        <v>0.83749999999999991</v>
      </c>
      <c r="R9">
        <f>R8+P9</f>
        <v>1</v>
      </c>
    </row>
    <row r="10" spans="1:18">
      <c r="A10" s="5">
        <v>0.92</v>
      </c>
      <c r="B10" s="5"/>
      <c r="C10" s="5">
        <v>0.93899999999999995</v>
      </c>
      <c r="D10" s="5">
        <v>1.0329999999999999</v>
      </c>
      <c r="E10" s="5"/>
      <c r="F10" s="5"/>
      <c r="H10" s="5">
        <v>0.92</v>
      </c>
      <c r="I10" s="6">
        <v>0.87</v>
      </c>
      <c r="K10" s="6">
        <v>8</v>
      </c>
      <c r="L10">
        <f t="shared" si="0"/>
        <v>256</v>
      </c>
      <c r="O10">
        <f t="shared" ref="O10:O17" si="1">O9+0.025</f>
        <v>0.875</v>
      </c>
      <c r="P10">
        <v>14</v>
      </c>
      <c r="Q10">
        <f t="shared" ref="Q10:Q17" si="2">AVERAGE(O9:O10)</f>
        <v>0.86250000000000004</v>
      </c>
      <c r="R10">
        <f t="shared" ref="R10:R17" si="3">R9+P10</f>
        <v>15</v>
      </c>
    </row>
    <row r="11" spans="1:18">
      <c r="A11" s="5">
        <v>0.93600000000000005</v>
      </c>
      <c r="B11" s="5"/>
      <c r="C11" s="5">
        <v>0.88600000000000001</v>
      </c>
      <c r="D11" s="5">
        <v>0.95499999999999996</v>
      </c>
      <c r="E11" s="5"/>
      <c r="F11" s="5"/>
      <c r="H11" s="5">
        <v>0.93600000000000005</v>
      </c>
      <c r="I11" s="6">
        <v>0.87</v>
      </c>
      <c r="K11" s="6">
        <v>9</v>
      </c>
      <c r="L11">
        <f t="shared" si="0"/>
        <v>512</v>
      </c>
      <c r="O11">
        <f t="shared" si="1"/>
        <v>0.9</v>
      </c>
      <c r="P11">
        <v>22</v>
      </c>
      <c r="Q11">
        <f t="shared" si="2"/>
        <v>0.88749999999999996</v>
      </c>
      <c r="R11">
        <f t="shared" si="3"/>
        <v>37</v>
      </c>
    </row>
    <row r="12" spans="1:18">
      <c r="A12" s="5">
        <v>0.89100000000000001</v>
      </c>
      <c r="B12" s="5"/>
      <c r="C12" s="5">
        <v>0.92400000000000004</v>
      </c>
      <c r="D12" s="5">
        <v>0.876</v>
      </c>
      <c r="E12" s="5"/>
      <c r="F12" s="5"/>
      <c r="H12" s="5">
        <v>0.89100000000000001</v>
      </c>
      <c r="I12" s="6">
        <v>0.871</v>
      </c>
      <c r="K12" s="6">
        <v>10</v>
      </c>
      <c r="L12">
        <f t="shared" si="0"/>
        <v>1024</v>
      </c>
      <c r="O12">
        <f t="shared" si="1"/>
        <v>0.92500000000000004</v>
      </c>
      <c r="P12">
        <v>31</v>
      </c>
      <c r="Q12">
        <f t="shared" si="2"/>
        <v>0.91250000000000009</v>
      </c>
      <c r="R12">
        <f t="shared" si="3"/>
        <v>68</v>
      </c>
    </row>
    <row r="13" spans="1:18">
      <c r="A13" s="5">
        <v>0.92400000000000004</v>
      </c>
      <c r="B13" s="5"/>
      <c r="C13" s="5">
        <v>0.91</v>
      </c>
      <c r="D13" s="5">
        <v>0.85599999999999998</v>
      </c>
      <c r="E13" s="5"/>
      <c r="F13" s="5"/>
      <c r="H13" s="5">
        <v>0.92400000000000004</v>
      </c>
      <c r="I13" s="6">
        <v>0.872</v>
      </c>
      <c r="O13">
        <f t="shared" si="1"/>
        <v>0.95000000000000007</v>
      </c>
      <c r="P13">
        <v>16</v>
      </c>
      <c r="Q13">
        <f t="shared" si="2"/>
        <v>0.9375</v>
      </c>
      <c r="R13">
        <f t="shared" si="3"/>
        <v>84</v>
      </c>
    </row>
    <row r="14" spans="1:18">
      <c r="A14" s="5">
        <v>0.874</v>
      </c>
      <c r="B14" s="5"/>
      <c r="C14" s="5">
        <v>0.877</v>
      </c>
      <c r="D14" s="5">
        <v>0.86599999999999999</v>
      </c>
      <c r="E14" s="5"/>
      <c r="F14" s="5"/>
      <c r="H14" s="5">
        <v>0.874</v>
      </c>
      <c r="I14" s="6">
        <v>0.874</v>
      </c>
      <c r="O14">
        <f t="shared" si="1"/>
        <v>0.97500000000000009</v>
      </c>
      <c r="P14">
        <v>8</v>
      </c>
      <c r="Q14">
        <f t="shared" si="2"/>
        <v>0.96250000000000013</v>
      </c>
      <c r="R14">
        <f t="shared" si="3"/>
        <v>92</v>
      </c>
    </row>
    <row r="15" spans="1:18">
      <c r="A15" s="5">
        <v>0.90800000000000003</v>
      </c>
      <c r="B15" s="5"/>
      <c r="C15" s="5">
        <v>0.879</v>
      </c>
      <c r="D15" s="5">
        <v>0.85799999999999998</v>
      </c>
      <c r="E15" s="5"/>
      <c r="F15" s="5"/>
      <c r="H15" s="5">
        <v>0.90800000000000003</v>
      </c>
      <c r="I15" s="6">
        <v>0.875</v>
      </c>
      <c r="O15">
        <f t="shared" si="1"/>
        <v>1</v>
      </c>
      <c r="P15">
        <v>5</v>
      </c>
      <c r="Q15">
        <f t="shared" si="2"/>
        <v>0.98750000000000004</v>
      </c>
      <c r="R15">
        <f t="shared" si="3"/>
        <v>97</v>
      </c>
    </row>
    <row r="16" spans="1:18">
      <c r="A16" s="5">
        <v>0.92400000000000004</v>
      </c>
      <c r="B16" s="5"/>
      <c r="C16" s="5">
        <v>0.94099999999999995</v>
      </c>
      <c r="D16" s="5">
        <v>0.98799999999999999</v>
      </c>
      <c r="E16" s="5"/>
      <c r="F16" s="5"/>
      <c r="H16" s="5">
        <v>0.92400000000000004</v>
      </c>
      <c r="I16" s="6">
        <v>0.875</v>
      </c>
      <c r="O16">
        <f t="shared" si="1"/>
        <v>1.0249999999999999</v>
      </c>
      <c r="P16">
        <v>2</v>
      </c>
      <c r="Q16">
        <f t="shared" si="2"/>
        <v>1.0125</v>
      </c>
      <c r="R16">
        <f t="shared" si="3"/>
        <v>99</v>
      </c>
    </row>
    <row r="17" spans="1:18">
      <c r="A17" s="5">
        <v>0.89700000000000002</v>
      </c>
      <c r="B17" s="5"/>
      <c r="C17" s="5">
        <v>0.879</v>
      </c>
      <c r="D17" s="5">
        <v>0.93600000000000005</v>
      </c>
      <c r="E17" s="5"/>
      <c r="F17" s="5"/>
      <c r="H17" s="5">
        <v>0.89700000000000002</v>
      </c>
      <c r="I17" s="6">
        <v>0.876</v>
      </c>
      <c r="O17">
        <f t="shared" si="1"/>
        <v>1.0499999999999998</v>
      </c>
      <c r="P17">
        <v>1</v>
      </c>
      <c r="Q17">
        <f t="shared" si="2"/>
        <v>1.0374999999999999</v>
      </c>
      <c r="R17">
        <f t="shared" si="3"/>
        <v>100</v>
      </c>
    </row>
    <row r="18" spans="1:18">
      <c r="A18" s="5">
        <v>0.91200000000000003</v>
      </c>
      <c r="B18" s="5"/>
      <c r="C18" s="5">
        <v>0.94</v>
      </c>
      <c r="D18" s="5">
        <v>0.93</v>
      </c>
      <c r="E18" s="5"/>
      <c r="F18" s="5"/>
      <c r="H18" s="5">
        <v>0.91200000000000003</v>
      </c>
      <c r="I18" s="6">
        <v>0.876</v>
      </c>
      <c r="O18" t="s">
        <v>24</v>
      </c>
      <c r="P18">
        <f>SUM(P8:P17)</f>
        <v>100</v>
      </c>
    </row>
    <row r="19" spans="1:18">
      <c r="A19" s="5">
        <v>0.88800000000000001</v>
      </c>
      <c r="B19" s="5"/>
      <c r="C19" s="5">
        <v>0.96</v>
      </c>
      <c r="D19" s="5">
        <v>0.92300000000000004</v>
      </c>
      <c r="E19" s="5"/>
      <c r="F19" s="5"/>
      <c r="H19" s="5">
        <v>0.88800000000000001</v>
      </c>
      <c r="I19" s="6">
        <v>0.877</v>
      </c>
    </row>
    <row r="20" spans="1:18">
      <c r="A20" s="5">
        <v>0.872</v>
      </c>
      <c r="B20" s="5"/>
      <c r="C20" s="5">
        <v>0.98899999999999999</v>
      </c>
      <c r="D20" s="5">
        <v>0.86699999999999999</v>
      </c>
      <c r="E20" s="5"/>
      <c r="F20" s="5"/>
      <c r="H20" s="5">
        <v>0.872</v>
      </c>
      <c r="I20" s="6">
        <v>0.879</v>
      </c>
    </row>
    <row r="21" spans="1:18">
      <c r="A21" s="5">
        <v>0.89800000000000002</v>
      </c>
      <c r="B21" s="5"/>
      <c r="C21" s="5">
        <v>0.9</v>
      </c>
      <c r="D21" s="5">
        <v>0.96499999999999997</v>
      </c>
      <c r="E21" s="5"/>
      <c r="F21" s="5"/>
      <c r="H21" s="5">
        <v>0.89800000000000002</v>
      </c>
      <c r="I21" s="6">
        <v>0.879</v>
      </c>
    </row>
    <row r="22" spans="1:18">
      <c r="A22" s="5">
        <v>0.88200000000000001</v>
      </c>
      <c r="B22" s="5"/>
      <c r="C22" s="5">
        <v>0.91700000000000004</v>
      </c>
      <c r="D22" s="5">
        <v>0.90200000000000002</v>
      </c>
      <c r="E22" s="5"/>
      <c r="F22" s="5"/>
      <c r="H22" s="5">
        <v>0.88200000000000001</v>
      </c>
      <c r="I22" s="6">
        <v>0.88200000000000001</v>
      </c>
    </row>
    <row r="23" spans="1:18">
      <c r="A23" s="5"/>
      <c r="B23" s="5"/>
      <c r="C23" s="5">
        <v>0.91100000000000003</v>
      </c>
      <c r="D23" s="5">
        <v>0.92800000000000005</v>
      </c>
      <c r="E23" s="5"/>
      <c r="F23" s="5"/>
      <c r="H23" s="5">
        <v>0.90300000000000002</v>
      </c>
      <c r="I23" s="6">
        <v>0.88600000000000001</v>
      </c>
    </row>
    <row r="24" spans="1:18">
      <c r="A24" s="5"/>
      <c r="B24" s="5"/>
      <c r="C24" s="5">
        <v>0.89200000000000002</v>
      </c>
      <c r="D24" s="5">
        <v>0.9</v>
      </c>
      <c r="E24" s="5"/>
      <c r="F24" s="5"/>
      <c r="H24" s="5">
        <v>0.92</v>
      </c>
      <c r="I24" s="6">
        <v>0.88600000000000001</v>
      </c>
    </row>
    <row r="25" spans="1:18">
      <c r="A25" s="5"/>
      <c r="B25" s="5"/>
      <c r="C25" s="5">
        <v>0.88600000000000001</v>
      </c>
      <c r="D25" s="5">
        <v>0.88900000000000001</v>
      </c>
      <c r="E25" s="5"/>
      <c r="F25" s="5"/>
      <c r="H25" s="5">
        <v>0.86099999999999999</v>
      </c>
      <c r="I25" s="6">
        <v>0.88800000000000001</v>
      </c>
    </row>
    <row r="26" spans="1:18">
      <c r="A26" s="5"/>
      <c r="B26" s="5"/>
      <c r="C26" s="5">
        <v>0.94899999999999995</v>
      </c>
      <c r="D26" s="5">
        <v>0.875</v>
      </c>
      <c r="E26" s="5"/>
      <c r="F26" s="5"/>
      <c r="H26" s="5">
        <v>1.0089999999999999</v>
      </c>
      <c r="I26" s="6">
        <v>0.88900000000000001</v>
      </c>
    </row>
    <row r="27" spans="1:18">
      <c r="A27" s="5"/>
      <c r="B27" s="5"/>
      <c r="C27" s="5">
        <v>0.93400000000000005</v>
      </c>
      <c r="D27" s="5">
        <v>0.90900000000000003</v>
      </c>
      <c r="E27" s="5"/>
      <c r="F27" s="5"/>
      <c r="H27" s="5">
        <v>0.97099999999999997</v>
      </c>
      <c r="I27" s="6">
        <v>0.89</v>
      </c>
    </row>
    <row r="28" spans="1:18">
      <c r="A28" s="5"/>
      <c r="B28" s="5"/>
      <c r="C28" s="5"/>
      <c r="D28" s="5">
        <v>0.97599999999999998</v>
      </c>
      <c r="E28" s="5"/>
      <c r="F28" s="5"/>
      <c r="H28" s="5">
        <v>0.89800000000000002</v>
      </c>
      <c r="I28" s="6">
        <v>0.89100000000000001</v>
      </c>
    </row>
    <row r="29" spans="1:18">
      <c r="A29" s="5"/>
      <c r="B29" s="5"/>
      <c r="C29" s="5"/>
      <c r="D29" s="5">
        <v>0.92100000000000004</v>
      </c>
      <c r="E29" s="5"/>
      <c r="F29" s="5"/>
      <c r="H29" s="5">
        <v>0.94199999999999995</v>
      </c>
      <c r="I29" s="6">
        <v>0.89200000000000002</v>
      </c>
    </row>
    <row r="30" spans="1:18">
      <c r="A30" s="5"/>
      <c r="B30" s="5"/>
      <c r="C30" s="5"/>
      <c r="D30" s="5">
        <v>0.89800000000000002</v>
      </c>
      <c r="E30" s="5"/>
      <c r="F30" s="5"/>
      <c r="H30" s="5">
        <v>0.89700000000000002</v>
      </c>
      <c r="I30" s="6">
        <v>0.89300000000000002</v>
      </c>
    </row>
    <row r="31" spans="1:18">
      <c r="A31" s="5"/>
      <c r="B31" s="5"/>
      <c r="C31" s="5"/>
      <c r="D31" s="5">
        <v>0.89700000000000002</v>
      </c>
      <c r="E31" s="5"/>
      <c r="F31" s="5"/>
      <c r="H31" s="5">
        <v>0.90600000000000003</v>
      </c>
      <c r="I31" s="6">
        <v>0.89700000000000002</v>
      </c>
    </row>
    <row r="32" spans="1:18">
      <c r="A32" s="5"/>
      <c r="B32" s="5"/>
      <c r="C32" s="5"/>
      <c r="D32" s="5">
        <v>0.90200000000000002</v>
      </c>
      <c r="E32" s="5"/>
      <c r="F32" s="5"/>
      <c r="H32" s="5">
        <v>0.97799999999999998</v>
      </c>
      <c r="I32" s="6">
        <v>0.89700000000000002</v>
      </c>
    </row>
    <row r="33" spans="1:9">
      <c r="A33" s="5"/>
      <c r="B33" s="5"/>
      <c r="C33" s="5"/>
      <c r="D33" s="5">
        <v>0.92</v>
      </c>
      <c r="E33" s="5"/>
      <c r="F33" s="5"/>
      <c r="H33" s="5">
        <v>0.92600000000000005</v>
      </c>
      <c r="I33" s="6">
        <v>0.89700000000000002</v>
      </c>
    </row>
    <row r="34" spans="1:9">
      <c r="A34" s="5"/>
      <c r="B34" s="5"/>
      <c r="C34" s="5"/>
      <c r="D34" s="5">
        <v>0.90900000000000003</v>
      </c>
      <c r="E34" s="5"/>
      <c r="F34" s="5"/>
      <c r="H34" s="5">
        <v>0.86799999999999999</v>
      </c>
      <c r="I34" s="6">
        <v>0.89800000000000002</v>
      </c>
    </row>
    <row r="35" spans="1:9">
      <c r="H35" s="5">
        <v>0.876</v>
      </c>
      <c r="I35" s="6">
        <v>0.89800000000000002</v>
      </c>
    </row>
    <row r="36" spans="1:9">
      <c r="A36">
        <f>AVERAGE(A2:A35)</f>
        <v>0.90971428571428581</v>
      </c>
      <c r="B36">
        <f t="shared" ref="B36:F36" si="4">AVERAGE(B2:B35)</f>
        <v>0.92512499999999998</v>
      </c>
      <c r="C36">
        <f t="shared" si="4"/>
        <v>0.91726923076923095</v>
      </c>
      <c r="D36">
        <f t="shared" si="4"/>
        <v>0.91281818181818164</v>
      </c>
      <c r="E36">
        <f t="shared" si="4"/>
        <v>0.90139999999999998</v>
      </c>
      <c r="F36">
        <f t="shared" si="4"/>
        <v>0.92657142857142849</v>
      </c>
      <c r="H36" s="5">
        <v>0.96799999999999997</v>
      </c>
      <c r="I36" s="6">
        <v>0.89800000000000002</v>
      </c>
    </row>
    <row r="37" spans="1:9">
      <c r="H37" s="5">
        <v>0.92100000000000004</v>
      </c>
      <c r="I37" s="6">
        <v>0.9</v>
      </c>
    </row>
    <row r="38" spans="1:9">
      <c r="H38" s="5">
        <v>0.89300000000000002</v>
      </c>
      <c r="I38" s="6">
        <v>0.9</v>
      </c>
    </row>
    <row r="39" spans="1:9">
      <c r="H39" s="5">
        <v>0.93899999999999995</v>
      </c>
      <c r="I39" s="6">
        <v>0.90200000000000002</v>
      </c>
    </row>
    <row r="40" spans="1:9">
      <c r="H40" s="5">
        <v>0.88600000000000001</v>
      </c>
      <c r="I40" s="6">
        <v>0.90200000000000002</v>
      </c>
    </row>
    <row r="41" spans="1:9">
      <c r="H41" s="5">
        <v>0.92400000000000004</v>
      </c>
      <c r="I41" s="6">
        <v>0.90200000000000002</v>
      </c>
    </row>
    <row r="42" spans="1:9">
      <c r="H42" s="5">
        <v>0.91</v>
      </c>
      <c r="I42" s="6">
        <v>0.90200000000000002</v>
      </c>
    </row>
    <row r="43" spans="1:9">
      <c r="H43" s="5">
        <v>0.877</v>
      </c>
      <c r="I43" s="6">
        <v>0.90300000000000002</v>
      </c>
    </row>
    <row r="44" spans="1:9">
      <c r="H44" s="5">
        <v>0.879</v>
      </c>
      <c r="I44" s="6">
        <v>0.90400000000000003</v>
      </c>
    </row>
    <row r="45" spans="1:9">
      <c r="H45" s="5">
        <v>0.94099999999999995</v>
      </c>
      <c r="I45" s="6">
        <v>0.90600000000000003</v>
      </c>
    </row>
    <row r="46" spans="1:9">
      <c r="H46" s="5">
        <v>0.879</v>
      </c>
      <c r="I46" s="6">
        <v>0.90800000000000003</v>
      </c>
    </row>
    <row r="47" spans="1:9">
      <c r="H47" s="5">
        <v>0.94</v>
      </c>
      <c r="I47" s="6">
        <v>0.90800000000000003</v>
      </c>
    </row>
    <row r="48" spans="1:9">
      <c r="H48" s="5">
        <v>0.96</v>
      </c>
      <c r="I48" s="6">
        <v>0.90800000000000003</v>
      </c>
    </row>
    <row r="49" spans="8:9">
      <c r="H49" s="5">
        <v>0.98899999999999999</v>
      </c>
      <c r="I49" s="6">
        <v>0.90900000000000003</v>
      </c>
    </row>
    <row r="50" spans="8:9">
      <c r="H50" s="5">
        <v>0.9</v>
      </c>
      <c r="I50" s="6">
        <v>0.90900000000000003</v>
      </c>
    </row>
    <row r="51" spans="8:9">
      <c r="H51" s="5">
        <v>0.91700000000000004</v>
      </c>
      <c r="I51" s="6">
        <v>0.91</v>
      </c>
    </row>
    <row r="52" spans="8:9">
      <c r="H52" s="5">
        <v>0.91100000000000003</v>
      </c>
      <c r="I52" s="6">
        <v>0.91100000000000003</v>
      </c>
    </row>
    <row r="53" spans="8:9">
      <c r="H53" s="5">
        <v>0.89200000000000002</v>
      </c>
      <c r="I53" s="6">
        <v>0.91100000000000003</v>
      </c>
    </row>
    <row r="54" spans="8:9">
      <c r="H54" s="5">
        <v>0.88600000000000001</v>
      </c>
      <c r="I54" s="6">
        <v>0.91100000000000003</v>
      </c>
    </row>
    <row r="55" spans="8:9">
      <c r="H55" s="5">
        <v>0.94899999999999995</v>
      </c>
      <c r="I55" s="6">
        <v>0.91200000000000003</v>
      </c>
    </row>
    <row r="56" spans="8:9">
      <c r="H56" s="5">
        <v>0.93400000000000005</v>
      </c>
      <c r="I56" s="6">
        <v>0.91300000000000003</v>
      </c>
    </row>
    <row r="57" spans="8:9">
      <c r="H57" s="5">
        <v>0.93200000000000005</v>
      </c>
      <c r="I57" s="6">
        <v>0.91400000000000003</v>
      </c>
    </row>
    <row r="58" spans="8:9">
      <c r="H58" s="5">
        <v>0.86</v>
      </c>
      <c r="I58" s="6">
        <v>0.91400000000000003</v>
      </c>
    </row>
    <row r="59" spans="8:9">
      <c r="H59" s="5">
        <v>0.91900000000000004</v>
      </c>
      <c r="I59" s="6">
        <v>0.91700000000000004</v>
      </c>
    </row>
    <row r="60" spans="8:9">
      <c r="H60" s="5">
        <v>0.91400000000000003</v>
      </c>
      <c r="I60" s="6">
        <v>0.91900000000000004</v>
      </c>
    </row>
    <row r="61" spans="8:9">
      <c r="H61" s="5">
        <v>0.91400000000000003</v>
      </c>
      <c r="I61" s="6">
        <v>0.92</v>
      </c>
    </row>
    <row r="62" spans="8:9">
      <c r="H62" s="5">
        <v>0.90400000000000003</v>
      </c>
      <c r="I62" s="6">
        <v>0.92</v>
      </c>
    </row>
    <row r="63" spans="8:9">
      <c r="H63" s="5">
        <v>0.93</v>
      </c>
      <c r="I63" s="6">
        <v>0.92</v>
      </c>
    </row>
    <row r="64" spans="8:9">
      <c r="H64" s="5">
        <v>0.871</v>
      </c>
      <c r="I64" s="6">
        <v>0.92100000000000004</v>
      </c>
    </row>
    <row r="65" spans="8:9">
      <c r="H65" s="5">
        <v>1.0329999999999999</v>
      </c>
      <c r="I65" s="6">
        <v>0.92100000000000004</v>
      </c>
    </row>
    <row r="66" spans="8:9">
      <c r="H66" s="5">
        <v>0.95499999999999996</v>
      </c>
      <c r="I66" s="6">
        <v>0.92300000000000004</v>
      </c>
    </row>
    <row r="67" spans="8:9">
      <c r="H67" s="5">
        <v>0.876</v>
      </c>
      <c r="I67" s="6">
        <v>0.92400000000000004</v>
      </c>
    </row>
    <row r="68" spans="8:9">
      <c r="H68" s="5">
        <v>0.85599999999999998</v>
      </c>
      <c r="I68" s="6">
        <v>0.92400000000000004</v>
      </c>
    </row>
    <row r="69" spans="8:9">
      <c r="H69" s="5">
        <v>0.86599999999999999</v>
      </c>
      <c r="I69" s="6">
        <v>0.92400000000000004</v>
      </c>
    </row>
    <row r="70" spans="8:9">
      <c r="H70" s="5">
        <v>0.85799999999999998</v>
      </c>
      <c r="I70" s="6">
        <v>0.92600000000000005</v>
      </c>
    </row>
    <row r="71" spans="8:9">
      <c r="H71" s="5">
        <v>0.98799999999999999</v>
      </c>
      <c r="I71" s="6">
        <v>0.92800000000000005</v>
      </c>
    </row>
    <row r="72" spans="8:9">
      <c r="H72" s="5">
        <v>0.93600000000000005</v>
      </c>
      <c r="I72" s="6">
        <v>0.93</v>
      </c>
    </row>
    <row r="73" spans="8:9">
      <c r="H73" s="5">
        <v>0.93</v>
      </c>
      <c r="I73" s="6">
        <v>0.93</v>
      </c>
    </row>
    <row r="74" spans="8:9">
      <c r="H74" s="5">
        <v>0.92300000000000004</v>
      </c>
      <c r="I74" s="6">
        <v>0.93</v>
      </c>
    </row>
    <row r="75" spans="8:9">
      <c r="H75" s="5">
        <v>0.86699999999999999</v>
      </c>
      <c r="I75" s="6">
        <v>0.93200000000000005</v>
      </c>
    </row>
    <row r="76" spans="8:9">
      <c r="H76" s="5">
        <v>0.96499999999999997</v>
      </c>
      <c r="I76" s="6">
        <v>0.93300000000000005</v>
      </c>
    </row>
    <row r="77" spans="8:9">
      <c r="H77" s="5">
        <v>0.90200000000000002</v>
      </c>
      <c r="I77" s="6">
        <v>0.93400000000000005</v>
      </c>
    </row>
    <row r="78" spans="8:9">
      <c r="H78" s="5">
        <v>0.92800000000000005</v>
      </c>
      <c r="I78" s="6">
        <v>0.93600000000000005</v>
      </c>
    </row>
    <row r="79" spans="8:9">
      <c r="H79" s="5">
        <v>0.9</v>
      </c>
      <c r="I79" s="6">
        <v>0.93600000000000005</v>
      </c>
    </row>
    <row r="80" spans="8:9">
      <c r="H80" s="5">
        <v>0.88900000000000001</v>
      </c>
      <c r="I80" s="6">
        <v>0.93899999999999995</v>
      </c>
    </row>
    <row r="81" spans="8:9">
      <c r="H81" s="5">
        <v>0.875</v>
      </c>
      <c r="I81" s="6">
        <v>0.94</v>
      </c>
    </row>
    <row r="82" spans="8:9">
      <c r="H82" s="5">
        <v>0.90900000000000003</v>
      </c>
      <c r="I82" s="6">
        <v>0.94099999999999995</v>
      </c>
    </row>
    <row r="83" spans="8:9">
      <c r="H83" s="5">
        <v>0.97599999999999998</v>
      </c>
      <c r="I83" s="6">
        <v>0.94199999999999995</v>
      </c>
    </row>
    <row r="84" spans="8:9">
      <c r="H84" s="5">
        <v>0.92100000000000004</v>
      </c>
      <c r="I84" s="6">
        <v>0.94899999999999995</v>
      </c>
    </row>
    <row r="85" spans="8:9">
      <c r="H85" s="5">
        <v>0.89800000000000002</v>
      </c>
      <c r="I85" s="6">
        <v>0.94899999999999995</v>
      </c>
    </row>
    <row r="86" spans="8:9">
      <c r="H86" s="5">
        <v>0.89700000000000002</v>
      </c>
      <c r="I86" s="6">
        <v>0.95199999999999996</v>
      </c>
    </row>
    <row r="87" spans="8:9">
      <c r="H87" s="5">
        <v>0.90200000000000002</v>
      </c>
      <c r="I87" s="6">
        <v>0.95499999999999996</v>
      </c>
    </row>
    <row r="88" spans="8:9">
      <c r="H88" s="5">
        <v>0.92</v>
      </c>
      <c r="I88" s="6">
        <v>0.95599999999999996</v>
      </c>
    </row>
    <row r="89" spans="8:9">
      <c r="H89" s="5">
        <v>0.90900000000000003</v>
      </c>
      <c r="I89" s="6">
        <v>0.96</v>
      </c>
    </row>
    <row r="90" spans="8:9">
      <c r="H90" s="5">
        <v>0.83799999999999997</v>
      </c>
      <c r="I90" s="6">
        <v>0.96499999999999997</v>
      </c>
    </row>
    <row r="91" spans="8:9">
      <c r="H91" s="5">
        <v>0.875</v>
      </c>
      <c r="I91" s="6">
        <v>0.96799999999999997</v>
      </c>
    </row>
    <row r="92" spans="8:9">
      <c r="H92" s="5">
        <v>0.87</v>
      </c>
      <c r="I92" s="6">
        <v>0.96799999999999997</v>
      </c>
    </row>
    <row r="93" spans="8:9">
      <c r="H93" s="5">
        <v>0.95599999999999996</v>
      </c>
      <c r="I93" s="6">
        <v>0.97099999999999997</v>
      </c>
    </row>
    <row r="94" spans="8:9">
      <c r="H94" s="5">
        <v>0.96799999999999997</v>
      </c>
      <c r="I94" s="6">
        <v>0.97599999999999998</v>
      </c>
    </row>
    <row r="95" spans="8:9">
      <c r="H95" s="5">
        <v>0.91100000000000003</v>
      </c>
      <c r="I95" s="6">
        <v>0.97799999999999998</v>
      </c>
    </row>
    <row r="96" spans="8:9">
      <c r="H96" s="5">
        <v>1.002</v>
      </c>
      <c r="I96" s="6">
        <v>0.98299999999999998</v>
      </c>
    </row>
    <row r="97" spans="8:9">
      <c r="H97" s="5">
        <v>0.90200000000000002</v>
      </c>
      <c r="I97" s="6">
        <v>0.98799999999999999</v>
      </c>
    </row>
    <row r="98" spans="8:9">
      <c r="H98" s="5">
        <v>0.93</v>
      </c>
      <c r="I98" s="6">
        <v>0.98899999999999999</v>
      </c>
    </row>
    <row r="99" spans="8:9">
      <c r="H99" s="5">
        <v>0.94899999999999995</v>
      </c>
      <c r="I99" s="6">
        <v>1.002</v>
      </c>
    </row>
    <row r="100" spans="8:9">
      <c r="H100" s="5">
        <v>0.89</v>
      </c>
      <c r="I100" s="6">
        <v>1.0089999999999999</v>
      </c>
    </row>
    <row r="101" spans="8:9">
      <c r="H101" s="5">
        <v>0.90200000000000002</v>
      </c>
      <c r="I101" s="6">
        <v>1.0329999999999999</v>
      </c>
    </row>
  </sheetData>
  <customSheetViews>
    <customSheetView guid="{9094556B-1172-42A9-AACE-3CBB4E66E327}">
      <selection activeCell="I8" sqref="I8"/>
      <pageMargins left="0.7" right="0.7" top="0.75" bottom="0.75" header="0.3" footer="0.3"/>
    </customSheetView>
    <customSheetView guid="{E0CEE470-0FBC-4B40-B93D-97AD4064B6C8}">
      <selection activeCell="I8" sqref="I8"/>
      <pageMargins left="0.7" right="0.7" top="0.75" bottom="0.75" header="0.3" footer="0.3"/>
    </customSheetView>
  </customSheetViews>
  <mergeCells count="1">
    <mergeCell ref="K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workbookViewId="0"/>
  </sheetViews>
  <sheetFormatPr defaultRowHeight="15"/>
  <cols>
    <col min="2" max="2" width="10.28515625" bestFit="1" customWidth="1"/>
    <col min="4" max="4" width="12.28515625" customWidth="1"/>
    <col min="5" max="5" width="18.140625" bestFit="1" customWidth="1"/>
    <col min="6" max="6" width="15.28515625" bestFit="1" customWidth="1"/>
    <col min="8" max="8" width="18.140625" bestFit="1" customWidth="1"/>
    <col min="11" max="11" width="18.140625" bestFit="1" customWidth="1"/>
    <col min="12" max="12" width="12.7109375" bestFit="1" customWidth="1"/>
  </cols>
  <sheetData>
    <row r="1" spans="1:9">
      <c r="A1" t="s">
        <v>2</v>
      </c>
      <c r="B1" t="s">
        <v>101</v>
      </c>
      <c r="C1" t="s">
        <v>102</v>
      </c>
      <c r="E1" s="8" t="s">
        <v>47</v>
      </c>
      <c r="F1" s="8" t="s">
        <v>48</v>
      </c>
      <c r="H1" s="9" t="s">
        <v>101</v>
      </c>
      <c r="I1" s="9"/>
    </row>
    <row r="2" spans="1:9">
      <c r="A2" t="s">
        <v>7</v>
      </c>
      <c r="B2">
        <v>1</v>
      </c>
      <c r="C2" t="s">
        <v>41</v>
      </c>
      <c r="E2" s="1">
        <f>SUM(B2:B22)</f>
        <v>82</v>
      </c>
      <c r="F2" s="8" t="s">
        <v>49</v>
      </c>
      <c r="H2" s="10"/>
      <c r="I2" s="10"/>
    </row>
    <row r="3" spans="1:9">
      <c r="A3" t="s">
        <v>7</v>
      </c>
      <c r="B3">
        <v>1</v>
      </c>
      <c r="C3" t="s">
        <v>42</v>
      </c>
      <c r="E3" s="1">
        <f>COUNT(B2:B22)</f>
        <v>21</v>
      </c>
      <c r="F3" s="8" t="s">
        <v>50</v>
      </c>
      <c r="H3" s="10" t="s">
        <v>51</v>
      </c>
      <c r="I3" s="10">
        <v>3.9047619047619047</v>
      </c>
    </row>
    <row r="4" spans="1:9">
      <c r="A4" t="s">
        <v>7</v>
      </c>
      <c r="B4">
        <v>2</v>
      </c>
      <c r="C4" t="s">
        <v>26</v>
      </c>
      <c r="E4" s="1">
        <f>MIN(B2:B22)</f>
        <v>1</v>
      </c>
      <c r="F4" s="8" t="s">
        <v>52</v>
      </c>
      <c r="H4" s="10" t="s">
        <v>53</v>
      </c>
      <c r="I4" s="10">
        <v>0.65065813532937156</v>
      </c>
    </row>
    <row r="5" spans="1:9">
      <c r="A5" t="s">
        <v>7</v>
      </c>
      <c r="B5">
        <v>2</v>
      </c>
      <c r="C5" t="s">
        <v>37</v>
      </c>
      <c r="E5" s="1">
        <f>MAX(B2:B22)</f>
        <v>15</v>
      </c>
      <c r="F5" s="8" t="s">
        <v>54</v>
      </c>
      <c r="H5" s="10" t="s">
        <v>55</v>
      </c>
      <c r="I5" s="10">
        <v>3</v>
      </c>
    </row>
    <row r="6" spans="1:9">
      <c r="A6" t="s">
        <v>7</v>
      </c>
      <c r="B6">
        <v>2</v>
      </c>
      <c r="C6" t="s">
        <v>34</v>
      </c>
      <c r="E6" s="11">
        <f>AVERAGE(B2:B22)</f>
        <v>3.9047619047619047</v>
      </c>
      <c r="F6" s="8" t="s">
        <v>56</v>
      </c>
      <c r="H6" s="10" t="s">
        <v>57</v>
      </c>
      <c r="I6" s="10">
        <v>2</v>
      </c>
    </row>
    <row r="7" spans="1:9">
      <c r="A7" t="s">
        <v>7</v>
      </c>
      <c r="B7">
        <v>2</v>
      </c>
      <c r="C7" t="s">
        <v>38</v>
      </c>
      <c r="E7" s="1">
        <f>MEDIAN(B2:B22)</f>
        <v>3</v>
      </c>
      <c r="F7" s="8" t="s">
        <v>58</v>
      </c>
      <c r="H7" s="10" t="s">
        <v>59</v>
      </c>
      <c r="I7" s="10">
        <v>2.9816901566856657</v>
      </c>
    </row>
    <row r="8" spans="1:9">
      <c r="A8" t="s">
        <v>7</v>
      </c>
      <c r="B8">
        <v>2</v>
      </c>
      <c r="C8" t="s">
        <v>27</v>
      </c>
      <c r="E8" s="1">
        <f>MODE(B2:B22)</f>
        <v>2</v>
      </c>
      <c r="F8" s="8" t="s">
        <v>60</v>
      </c>
      <c r="H8" s="10" t="s">
        <v>61</v>
      </c>
      <c r="I8" s="10">
        <v>8.8904761904761891</v>
      </c>
    </row>
    <row r="9" spans="1:9">
      <c r="A9" t="s">
        <v>7</v>
      </c>
      <c r="B9">
        <v>3</v>
      </c>
      <c r="C9" t="s">
        <v>36</v>
      </c>
      <c r="E9" s="1">
        <f>E5-E4</f>
        <v>14</v>
      </c>
      <c r="F9" s="8" t="s">
        <v>62</v>
      </c>
      <c r="H9" s="10" t="s">
        <v>63</v>
      </c>
      <c r="I9" s="10">
        <v>9.7191771690958113</v>
      </c>
    </row>
    <row r="10" spans="1:9">
      <c r="A10" t="s">
        <v>7</v>
      </c>
      <c r="B10">
        <v>3</v>
      </c>
      <c r="C10" t="s">
        <v>45</v>
      </c>
      <c r="E10" s="1">
        <f>AVEDEV(B2:B22)</f>
        <v>1.804988662131519</v>
      </c>
      <c r="F10" s="8" t="s">
        <v>64</v>
      </c>
      <c r="H10" s="10" t="s">
        <v>65</v>
      </c>
      <c r="I10" s="10">
        <v>2.7535443957442602</v>
      </c>
    </row>
    <row r="11" spans="1:9">
      <c r="A11" t="s">
        <v>7</v>
      </c>
      <c r="B11">
        <v>3</v>
      </c>
      <c r="C11" t="s">
        <v>33</v>
      </c>
      <c r="E11" s="1">
        <f>STDEVP(B2:B22)</f>
        <v>2.9098316414194647</v>
      </c>
      <c r="F11" s="8" t="s">
        <v>66</v>
      </c>
      <c r="H11" s="10" t="s">
        <v>67</v>
      </c>
      <c r="I11" s="10">
        <v>14</v>
      </c>
    </row>
    <row r="12" spans="1:9">
      <c r="A12" t="s">
        <v>7</v>
      </c>
      <c r="B12">
        <v>3</v>
      </c>
      <c r="C12" t="s">
        <v>30</v>
      </c>
      <c r="E12" s="1">
        <f>VARP(B2:B22)</f>
        <v>8.4671201814058961</v>
      </c>
      <c r="F12" s="8" t="s">
        <v>68</v>
      </c>
      <c r="H12" s="10" t="s">
        <v>69</v>
      </c>
      <c r="I12" s="10">
        <v>1</v>
      </c>
    </row>
    <row r="13" spans="1:9">
      <c r="A13" t="s">
        <v>7</v>
      </c>
      <c r="B13">
        <v>4</v>
      </c>
      <c r="C13" t="s">
        <v>43</v>
      </c>
      <c r="E13" s="1">
        <f>STDEV(B2:B22)</f>
        <v>2.9816901566856657</v>
      </c>
      <c r="F13" s="8" t="s">
        <v>70</v>
      </c>
      <c r="H13" s="10" t="s">
        <v>71</v>
      </c>
      <c r="I13" s="10">
        <v>15</v>
      </c>
    </row>
    <row r="14" spans="1:9">
      <c r="A14" t="s">
        <v>7</v>
      </c>
      <c r="B14">
        <v>4</v>
      </c>
      <c r="C14" t="s">
        <v>44</v>
      </c>
      <c r="E14" s="1">
        <f>VAR(B2:B22)</f>
        <v>8.8904761904761891</v>
      </c>
      <c r="F14" s="8" t="s">
        <v>72</v>
      </c>
      <c r="H14" s="10" t="s">
        <v>24</v>
      </c>
      <c r="I14" s="10">
        <v>82</v>
      </c>
    </row>
    <row r="15" spans="1:9" ht="15.75" thickBot="1">
      <c r="A15" t="s">
        <v>7</v>
      </c>
      <c r="B15">
        <v>4</v>
      </c>
      <c r="C15" t="s">
        <v>46</v>
      </c>
      <c r="H15" s="12" t="s">
        <v>3</v>
      </c>
      <c r="I15" s="12">
        <v>21</v>
      </c>
    </row>
    <row r="16" spans="1:9">
      <c r="A16" t="s">
        <v>7</v>
      </c>
      <c r="B16">
        <v>4</v>
      </c>
      <c r="C16" t="s">
        <v>39</v>
      </c>
    </row>
    <row r="17" spans="1:10">
      <c r="A17" t="s">
        <v>7</v>
      </c>
      <c r="B17">
        <v>4</v>
      </c>
      <c r="C17" t="s">
        <v>35</v>
      </c>
    </row>
    <row r="18" spans="1:10">
      <c r="A18" t="s">
        <v>7</v>
      </c>
      <c r="B18">
        <v>5</v>
      </c>
      <c r="C18" t="s">
        <v>40</v>
      </c>
    </row>
    <row r="19" spans="1:10">
      <c r="A19" t="s">
        <v>7</v>
      </c>
      <c r="B19">
        <v>5</v>
      </c>
      <c r="C19" t="s">
        <v>31</v>
      </c>
      <c r="H19" s="5" t="s">
        <v>99</v>
      </c>
      <c r="I19" s="5" t="s">
        <v>100</v>
      </c>
      <c r="J19" t="s">
        <v>4</v>
      </c>
    </row>
    <row r="20" spans="1:10">
      <c r="A20" t="s">
        <v>7</v>
      </c>
      <c r="B20">
        <v>6</v>
      </c>
      <c r="C20" t="s">
        <v>32</v>
      </c>
      <c r="H20">
        <v>0</v>
      </c>
      <c r="I20">
        <f t="array" ref="I20:I35">FREQUENCY(B2:B22,H20:H35)</f>
        <v>0</v>
      </c>
      <c r="J20" s="23">
        <f>I20/$E$3</f>
        <v>0</v>
      </c>
    </row>
    <row r="21" spans="1:10">
      <c r="A21" t="s">
        <v>7</v>
      </c>
      <c r="B21">
        <v>7</v>
      </c>
      <c r="C21" t="s">
        <v>29</v>
      </c>
      <c r="H21">
        <v>1</v>
      </c>
      <c r="I21">
        <v>2</v>
      </c>
      <c r="J21" s="23">
        <f t="shared" ref="J21:J35" si="0">I21/$E$3</f>
        <v>9.5238095238095233E-2</v>
      </c>
    </row>
    <row r="22" spans="1:10">
      <c r="A22" t="s">
        <v>7</v>
      </c>
      <c r="B22">
        <v>15</v>
      </c>
      <c r="C22" t="s">
        <v>28</v>
      </c>
      <c r="H22">
        <v>2</v>
      </c>
      <c r="I22">
        <v>5</v>
      </c>
      <c r="J22" s="23">
        <f t="shared" si="0"/>
        <v>0.23809523809523808</v>
      </c>
    </row>
    <row r="23" spans="1:10">
      <c r="H23">
        <v>3</v>
      </c>
      <c r="I23">
        <v>4</v>
      </c>
      <c r="J23" s="23">
        <f t="shared" si="0"/>
        <v>0.19047619047619047</v>
      </c>
    </row>
    <row r="24" spans="1:10">
      <c r="H24">
        <v>4</v>
      </c>
      <c r="I24">
        <v>5</v>
      </c>
      <c r="J24" s="23">
        <f t="shared" si="0"/>
        <v>0.23809523809523808</v>
      </c>
    </row>
    <row r="25" spans="1:10">
      <c r="H25">
        <v>5</v>
      </c>
      <c r="I25">
        <v>2</v>
      </c>
      <c r="J25" s="23">
        <f t="shared" si="0"/>
        <v>9.5238095238095233E-2</v>
      </c>
    </row>
    <row r="26" spans="1:10">
      <c r="H26">
        <v>6</v>
      </c>
      <c r="I26">
        <v>1</v>
      </c>
      <c r="J26" s="23">
        <f t="shared" si="0"/>
        <v>4.7619047619047616E-2</v>
      </c>
    </row>
    <row r="27" spans="1:10">
      <c r="H27">
        <v>7</v>
      </c>
      <c r="I27">
        <v>1</v>
      </c>
      <c r="J27" s="23">
        <f t="shared" si="0"/>
        <v>4.7619047619047616E-2</v>
      </c>
    </row>
    <row r="28" spans="1:10">
      <c r="H28">
        <v>8</v>
      </c>
      <c r="I28">
        <v>0</v>
      </c>
      <c r="J28" s="23">
        <f t="shared" si="0"/>
        <v>0</v>
      </c>
    </row>
    <row r="29" spans="1:10">
      <c r="H29">
        <v>9</v>
      </c>
      <c r="I29">
        <v>0</v>
      </c>
      <c r="J29" s="23">
        <f t="shared" si="0"/>
        <v>0</v>
      </c>
    </row>
    <row r="30" spans="1:10">
      <c r="A30" t="s">
        <v>138</v>
      </c>
      <c r="H30">
        <v>10</v>
      </c>
      <c r="I30">
        <v>0</v>
      </c>
      <c r="J30" s="23">
        <f t="shared" si="0"/>
        <v>0</v>
      </c>
    </row>
    <row r="31" spans="1:10">
      <c r="A31" t="s">
        <v>137</v>
      </c>
      <c r="H31">
        <v>11</v>
      </c>
      <c r="I31">
        <v>0</v>
      </c>
      <c r="J31" s="23">
        <f t="shared" si="0"/>
        <v>0</v>
      </c>
    </row>
    <row r="32" spans="1:10">
      <c r="A32" t="s">
        <v>105</v>
      </c>
      <c r="H32">
        <v>12</v>
      </c>
      <c r="I32">
        <v>0</v>
      </c>
      <c r="J32" s="23">
        <f t="shared" si="0"/>
        <v>0</v>
      </c>
    </row>
    <row r="33" spans="1:10">
      <c r="A33" t="s">
        <v>103</v>
      </c>
      <c r="H33">
        <v>13</v>
      </c>
      <c r="I33">
        <v>0</v>
      </c>
      <c r="J33" s="23">
        <f t="shared" si="0"/>
        <v>0</v>
      </c>
    </row>
    <row r="34" spans="1:10">
      <c r="A34" t="s">
        <v>104</v>
      </c>
      <c r="H34">
        <v>14</v>
      </c>
      <c r="I34">
        <v>0</v>
      </c>
      <c r="J34" s="23">
        <f t="shared" si="0"/>
        <v>0</v>
      </c>
    </row>
    <row r="35" spans="1:10">
      <c r="A35" t="s">
        <v>139</v>
      </c>
      <c r="H35">
        <v>15</v>
      </c>
      <c r="I35">
        <v>1</v>
      </c>
      <c r="J35" s="23">
        <f t="shared" si="0"/>
        <v>4.7619047619047616E-2</v>
      </c>
    </row>
    <row r="36" spans="1:10">
      <c r="A36" t="s">
        <v>106</v>
      </c>
    </row>
    <row r="37" spans="1:10">
      <c r="A37" t="s">
        <v>107</v>
      </c>
    </row>
  </sheetData>
  <customSheetViews>
    <customSheetView guid="{9094556B-1172-42A9-AACE-3CBB4E66E327}" fitToPage="1">
      <pageMargins left="0.7" right="0.7" top="0.75" bottom="0.75" header="0.3" footer="0.3"/>
      <pageSetup scale="59" orientation="landscape" r:id="rId1"/>
    </customSheetView>
    <customSheetView guid="{E0CEE470-0FBC-4B40-B93D-97AD4064B6C8}" fitToPage="1">
      <pageMargins left="0.7" right="0.7" top="0.75" bottom="0.75" header="0.3" footer="0.3"/>
      <pageSetup scale="59" orientation="landscape" r:id="rId2"/>
    </customSheetView>
  </customSheetViews>
  <pageMargins left="0.7" right="0.7" top="0.75" bottom="0.75" header="0.3" footer="0.3"/>
  <pageSetup scale="59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3"/>
  <sheetViews>
    <sheetView workbookViewId="0"/>
  </sheetViews>
  <sheetFormatPr defaultRowHeight="15"/>
  <cols>
    <col min="2" max="2" width="4.85546875" customWidth="1"/>
    <col min="3" max="3" width="26.85546875" bestFit="1" customWidth="1"/>
    <col min="4" max="4" width="13.140625" bestFit="1" customWidth="1"/>
    <col min="5" max="5" width="15.28515625" bestFit="1" customWidth="1"/>
    <col min="7" max="7" width="18.140625" bestFit="1" customWidth="1"/>
    <col min="8" max="8" width="12.7109375" bestFit="1" customWidth="1"/>
  </cols>
  <sheetData>
    <row r="1" spans="1:8" ht="15.75" thickBot="1">
      <c r="C1" s="180" t="s">
        <v>73</v>
      </c>
      <c r="D1" s="180"/>
      <c r="E1" s="180"/>
      <c r="G1" s="13" t="s">
        <v>74</v>
      </c>
      <c r="H1" s="13"/>
    </row>
    <row r="2" spans="1:8">
      <c r="A2" s="1" t="s">
        <v>75</v>
      </c>
      <c r="C2" s="5" t="s">
        <v>76</v>
      </c>
      <c r="D2" s="8" t="s">
        <v>47</v>
      </c>
      <c r="E2" s="8" t="s">
        <v>48</v>
      </c>
      <c r="G2" s="9" t="s">
        <v>75</v>
      </c>
      <c r="H2" s="9"/>
    </row>
    <row r="3" spans="1:8">
      <c r="A3" s="14">
        <v>845</v>
      </c>
      <c r="C3" s="5" t="s">
        <v>24</v>
      </c>
      <c r="D3" s="15">
        <f>SUM(My_Data)</f>
        <v>9921</v>
      </c>
      <c r="E3" s="16" t="s">
        <v>77</v>
      </c>
      <c r="G3" s="10"/>
      <c r="H3" s="10"/>
    </row>
    <row r="4" spans="1:8">
      <c r="A4" s="14">
        <v>826</v>
      </c>
      <c r="C4" s="5" t="s">
        <v>3</v>
      </c>
      <c r="D4" s="15">
        <f>COUNT(My_Data)</f>
        <v>12</v>
      </c>
      <c r="E4" s="16" t="s">
        <v>78</v>
      </c>
      <c r="G4" s="10" t="s">
        <v>51</v>
      </c>
      <c r="H4" s="10">
        <v>4.2222222222222223</v>
      </c>
    </row>
    <row r="5" spans="1:8">
      <c r="A5" s="14">
        <v>827</v>
      </c>
      <c r="C5" s="5" t="s">
        <v>69</v>
      </c>
      <c r="D5" s="15">
        <f>MIN(My_Data)</f>
        <v>784</v>
      </c>
      <c r="E5" s="16" t="s">
        <v>79</v>
      </c>
      <c r="G5" s="10" t="s">
        <v>53</v>
      </c>
      <c r="H5" s="10">
        <v>0.38395563771828789</v>
      </c>
    </row>
    <row r="6" spans="1:8">
      <c r="A6" s="14">
        <v>875</v>
      </c>
      <c r="C6" s="5" t="s">
        <v>71</v>
      </c>
      <c r="D6" s="15">
        <f>MAX(My_Data)</f>
        <v>875</v>
      </c>
      <c r="E6" s="16" t="s">
        <v>80</v>
      </c>
      <c r="G6" s="10" t="s">
        <v>55</v>
      </c>
      <c r="H6" s="10">
        <v>4</v>
      </c>
    </row>
    <row r="7" spans="1:8">
      <c r="A7" s="14">
        <v>784</v>
      </c>
      <c r="C7" s="5" t="s">
        <v>81</v>
      </c>
      <c r="D7" s="17">
        <f>AVERAGE(My_Data)</f>
        <v>826.75</v>
      </c>
      <c r="E7" s="16" t="s">
        <v>82</v>
      </c>
      <c r="G7" s="10" t="s">
        <v>57</v>
      </c>
      <c r="H7" s="10">
        <v>4</v>
      </c>
    </row>
    <row r="8" spans="1:8">
      <c r="A8" s="14">
        <v>809</v>
      </c>
      <c r="C8" s="5" t="s">
        <v>55</v>
      </c>
      <c r="D8" s="15">
        <f>MEDIAN(My_Data)</f>
        <v>828</v>
      </c>
      <c r="E8" s="16" t="s">
        <v>83</v>
      </c>
      <c r="G8" s="10" t="s">
        <v>59</v>
      </c>
      <c r="H8" s="10">
        <v>1.6289858106324402</v>
      </c>
    </row>
    <row r="9" spans="1:8">
      <c r="A9" s="14">
        <v>802</v>
      </c>
      <c r="C9" s="5" t="s">
        <v>57</v>
      </c>
      <c r="D9" s="15" t="e">
        <f>MODE(My_Data)</f>
        <v>#N/A</v>
      </c>
      <c r="E9" s="16" t="s">
        <v>84</v>
      </c>
      <c r="G9" s="10" t="s">
        <v>61</v>
      </c>
      <c r="H9" s="10">
        <v>2.6535947712418286</v>
      </c>
    </row>
    <row r="10" spans="1:8">
      <c r="A10" s="14">
        <v>820</v>
      </c>
      <c r="C10" s="5" t="s">
        <v>67</v>
      </c>
      <c r="D10" s="15">
        <f>D6-D5</f>
        <v>91</v>
      </c>
      <c r="E10" s="16" t="s">
        <v>85</v>
      </c>
      <c r="G10" s="10" t="s">
        <v>63</v>
      </c>
      <c r="H10" s="10">
        <v>-0.37526935863524802</v>
      </c>
    </row>
    <row r="11" spans="1:8">
      <c r="A11" s="14">
        <v>829</v>
      </c>
      <c r="C11" s="5" t="s">
        <v>86</v>
      </c>
      <c r="D11" s="17">
        <f>AVEDEV(My_Data)</f>
        <v>15.458333333333334</v>
      </c>
      <c r="E11" s="16" t="s">
        <v>87</v>
      </c>
      <c r="G11" s="10" t="s">
        <v>65</v>
      </c>
      <c r="H11" s="10">
        <v>-0.40219651363245351</v>
      </c>
    </row>
    <row r="12" spans="1:8">
      <c r="A12" s="14">
        <v>830</v>
      </c>
      <c r="C12" s="5" t="s">
        <v>88</v>
      </c>
      <c r="D12" s="17">
        <f>STDEVP(My_Data)</f>
        <v>21.867498713844707</v>
      </c>
      <c r="E12" s="16" t="s">
        <v>89</v>
      </c>
      <c r="G12" s="10" t="s">
        <v>67</v>
      </c>
      <c r="H12" s="10">
        <v>6</v>
      </c>
    </row>
    <row r="13" spans="1:8">
      <c r="A13" s="14">
        <v>842</v>
      </c>
      <c r="C13" s="5" t="s">
        <v>90</v>
      </c>
      <c r="D13" s="17">
        <f>VARP(My_Data)</f>
        <v>478.1875</v>
      </c>
      <c r="E13" s="16" t="s">
        <v>91</v>
      </c>
      <c r="G13" s="10" t="s">
        <v>69</v>
      </c>
      <c r="H13" s="10">
        <v>1</v>
      </c>
    </row>
    <row r="14" spans="1:8">
      <c r="A14" s="14">
        <v>832</v>
      </c>
      <c r="C14" s="5" t="s">
        <v>92</v>
      </c>
      <c r="D14" s="17">
        <f>STDEV(My_Data)</f>
        <v>22.839857506321945</v>
      </c>
      <c r="E14" s="16" t="s">
        <v>93</v>
      </c>
      <c r="G14" s="10" t="s">
        <v>71</v>
      </c>
      <c r="H14" s="10">
        <v>7</v>
      </c>
    </row>
    <row r="15" spans="1:8">
      <c r="A15" s="14"/>
      <c r="C15" s="5" t="s">
        <v>94</v>
      </c>
      <c r="D15" s="17">
        <f>VAR(My_Data)</f>
        <v>521.65909090909088</v>
      </c>
      <c r="E15" s="16" t="s">
        <v>95</v>
      </c>
      <c r="G15" s="10" t="s">
        <v>24</v>
      </c>
      <c r="H15" s="10">
        <v>76</v>
      </c>
    </row>
    <row r="16" spans="1:8" ht="15.75" thickBot="1">
      <c r="A16" s="14"/>
      <c r="C16" s="18" t="s">
        <v>160</v>
      </c>
      <c r="D16" s="15">
        <f>(D4+1)*C17</f>
        <v>3.25</v>
      </c>
      <c r="E16" s="16" t="s">
        <v>161</v>
      </c>
      <c r="G16" s="12" t="s">
        <v>3</v>
      </c>
      <c r="H16" s="12">
        <v>18</v>
      </c>
    </row>
    <row r="17" spans="1:5">
      <c r="A17" s="14"/>
      <c r="C17" s="43">
        <v>0.25</v>
      </c>
      <c r="D17" t="s">
        <v>162</v>
      </c>
    </row>
    <row r="18" spans="1:5">
      <c r="A18" s="14"/>
      <c r="C18" s="18"/>
    </row>
    <row r="19" spans="1:5">
      <c r="A19" s="14"/>
    </row>
    <row r="20" spans="1:5">
      <c r="A20" s="14"/>
      <c r="C20" t="s">
        <v>96</v>
      </c>
    </row>
    <row r="21" spans="1:5">
      <c r="A21" s="14"/>
      <c r="C21" s="181" t="s">
        <v>97</v>
      </c>
      <c r="D21" s="182"/>
      <c r="E21" s="183"/>
    </row>
    <row r="22" spans="1:5">
      <c r="A22" s="14"/>
      <c r="C22" s="19" t="s">
        <v>98</v>
      </c>
      <c r="D22" s="20"/>
      <c r="E22" s="21"/>
    </row>
    <row r="23" spans="1:5">
      <c r="A23" s="14"/>
    </row>
    <row r="24" spans="1:5">
      <c r="A24" s="14"/>
    </row>
    <row r="25" spans="1:5">
      <c r="A25" s="14"/>
    </row>
    <row r="26" spans="1:5">
      <c r="A26" s="14"/>
    </row>
    <row r="27" spans="1:5">
      <c r="A27" s="14"/>
    </row>
    <row r="28" spans="1:5">
      <c r="A28" s="14"/>
    </row>
    <row r="29" spans="1:5">
      <c r="A29" s="14"/>
    </row>
    <row r="30" spans="1:5">
      <c r="A30" s="14"/>
    </row>
    <row r="31" spans="1:5">
      <c r="A31" s="14"/>
    </row>
    <row r="32" spans="1:5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</sheetData>
  <customSheetViews>
    <customSheetView guid="{9094556B-1172-42A9-AACE-3CBB4E66E327}">
      <selection activeCell="E10" sqref="E10"/>
      <pageMargins left="0.7" right="0.7" top="0.75" bottom="0.75" header="0.3" footer="0.3"/>
      <pageSetup orientation="landscape" r:id="rId1"/>
    </customSheetView>
    <customSheetView guid="{E0CEE470-0FBC-4B40-B93D-97AD4064B6C8}">
      <selection activeCell="E10" sqref="E10"/>
      <pageMargins left="0.7" right="0.7" top="0.75" bottom="0.75" header="0.3" footer="0.3"/>
      <pageSetup orientation="landscape" r:id="rId2"/>
    </customSheetView>
  </customSheetViews>
  <mergeCells count="2">
    <mergeCell ref="C1:E1"/>
    <mergeCell ref="C21:E21"/>
  </mergeCells>
  <pageMargins left="0.7" right="0.7" top="0.75" bottom="0.75" header="0.3" footer="0.3"/>
  <pageSetup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1"/>
  <sheetViews>
    <sheetView workbookViewId="0"/>
  </sheetViews>
  <sheetFormatPr defaultRowHeight="15"/>
  <cols>
    <col min="1" max="1" width="6.140625" customWidth="1"/>
    <col min="2" max="3" width="10.140625" customWidth="1"/>
    <col min="4" max="4" width="13.7109375" customWidth="1"/>
    <col min="5" max="5" width="17.28515625" customWidth="1"/>
    <col min="6" max="6" width="10.140625" customWidth="1"/>
    <col min="8" max="8" width="15.85546875" customWidth="1"/>
  </cols>
  <sheetData>
    <row r="1" spans="1:16">
      <c r="B1" s="24" t="s">
        <v>108</v>
      </c>
      <c r="C1" s="24"/>
      <c r="D1" s="24"/>
      <c r="E1" s="24"/>
    </row>
    <row r="2" spans="1:16">
      <c r="B2" s="179" t="s">
        <v>99</v>
      </c>
      <c r="C2" s="179"/>
      <c r="H2" t="s">
        <v>109</v>
      </c>
    </row>
    <row r="3" spans="1:16">
      <c r="B3" s="1" t="s">
        <v>110</v>
      </c>
      <c r="C3" s="1" t="s">
        <v>111</v>
      </c>
      <c r="D3" s="1" t="s">
        <v>22</v>
      </c>
      <c r="E3" s="1" t="s">
        <v>3</v>
      </c>
      <c r="F3" s="25" t="s">
        <v>112</v>
      </c>
      <c r="H3" s="26" t="s">
        <v>113</v>
      </c>
      <c r="P3" t="s">
        <v>138</v>
      </c>
    </row>
    <row r="4" spans="1:16">
      <c r="A4" t="s">
        <v>114</v>
      </c>
      <c r="B4" s="14">
        <v>10</v>
      </c>
      <c r="C4" s="14">
        <v>13</v>
      </c>
      <c r="D4" s="15">
        <f>IF(OR(B4&gt;0,C4&gt;0),AVERAGE(B4:C4),0)</f>
        <v>11.5</v>
      </c>
      <c r="E4" s="14">
        <v>2</v>
      </c>
      <c r="F4" s="27">
        <f>E4/$E$23</f>
        <v>6.6666666666666666E-2</v>
      </c>
      <c r="H4" s="22">
        <f t="shared" ref="H4:H22" si="0">(D4-$E$25)^2*E4</f>
        <v>100.82000000000004</v>
      </c>
      <c r="P4" t="s">
        <v>147</v>
      </c>
    </row>
    <row r="5" spans="1:16">
      <c r="A5" t="s">
        <v>115</v>
      </c>
      <c r="B5" s="14">
        <v>13</v>
      </c>
      <c r="C5" s="14">
        <v>16</v>
      </c>
      <c r="D5" s="15">
        <f t="shared" ref="D5:D22" si="1">IF(OR(B5&gt;0,C5&gt;0),AVERAGE(B5:C5),0)</f>
        <v>14.5</v>
      </c>
      <c r="E5" s="14">
        <v>5</v>
      </c>
      <c r="F5" s="27">
        <f t="shared" ref="F5:F22" si="2">E5/$E$23</f>
        <v>0.16666666666666666</v>
      </c>
      <c r="H5" s="22">
        <f t="shared" si="0"/>
        <v>84.050000000000068</v>
      </c>
      <c r="P5" t="s">
        <v>148</v>
      </c>
    </row>
    <row r="6" spans="1:16">
      <c r="A6" t="s">
        <v>116</v>
      </c>
      <c r="B6" s="14">
        <v>16</v>
      </c>
      <c r="C6" s="14">
        <v>19</v>
      </c>
      <c r="D6" s="15">
        <f t="shared" si="1"/>
        <v>17.5</v>
      </c>
      <c r="E6" s="14">
        <v>10</v>
      </c>
      <c r="F6" s="27">
        <f t="shared" si="2"/>
        <v>0.33333333333333331</v>
      </c>
      <c r="H6" s="22">
        <f t="shared" si="0"/>
        <v>12.10000000000003</v>
      </c>
    </row>
    <row r="7" spans="1:16">
      <c r="B7" s="14">
        <v>19</v>
      </c>
      <c r="C7" s="14">
        <v>22</v>
      </c>
      <c r="D7" s="15">
        <f t="shared" si="1"/>
        <v>20.5</v>
      </c>
      <c r="E7" s="14">
        <v>8</v>
      </c>
      <c r="F7" s="27">
        <f t="shared" si="2"/>
        <v>0.26666666666666666</v>
      </c>
      <c r="H7" s="22">
        <f t="shared" si="0"/>
        <v>28.879999999999956</v>
      </c>
    </row>
    <row r="8" spans="1:16">
      <c r="B8" s="14">
        <v>22</v>
      </c>
      <c r="C8" s="14">
        <v>25</v>
      </c>
      <c r="D8" s="15">
        <f t="shared" si="1"/>
        <v>23.5</v>
      </c>
      <c r="E8" s="14">
        <v>3</v>
      </c>
      <c r="F8" s="27">
        <f t="shared" si="2"/>
        <v>0.1</v>
      </c>
      <c r="H8" s="22">
        <f t="shared" si="0"/>
        <v>72.029999999999959</v>
      </c>
    </row>
    <row r="9" spans="1:16">
      <c r="B9" s="14">
        <v>25</v>
      </c>
      <c r="C9" s="14">
        <v>28</v>
      </c>
      <c r="D9" s="15">
        <f t="shared" si="1"/>
        <v>26.5</v>
      </c>
      <c r="E9" s="14">
        <v>2</v>
      </c>
      <c r="F9" s="27">
        <f t="shared" si="2"/>
        <v>6.6666666666666666E-2</v>
      </c>
      <c r="H9" s="22">
        <f t="shared" si="0"/>
        <v>124.81999999999995</v>
      </c>
    </row>
    <row r="10" spans="1:16">
      <c r="B10" s="14"/>
      <c r="C10" s="14"/>
      <c r="D10" s="15">
        <f t="shared" si="1"/>
        <v>0</v>
      </c>
      <c r="E10" s="14"/>
      <c r="F10" s="27">
        <f t="shared" si="2"/>
        <v>0</v>
      </c>
      <c r="H10" s="22">
        <f t="shared" si="0"/>
        <v>0</v>
      </c>
    </row>
    <row r="11" spans="1:16">
      <c r="B11" s="14"/>
      <c r="C11" s="14"/>
      <c r="D11" s="15">
        <f t="shared" si="1"/>
        <v>0</v>
      </c>
      <c r="E11" s="14"/>
      <c r="F11" s="27">
        <f t="shared" si="2"/>
        <v>0</v>
      </c>
      <c r="H11" s="22">
        <f t="shared" si="0"/>
        <v>0</v>
      </c>
    </row>
    <row r="12" spans="1:16">
      <c r="B12" s="14"/>
      <c r="C12" s="14"/>
      <c r="D12" s="15">
        <f t="shared" si="1"/>
        <v>0</v>
      </c>
      <c r="E12" s="14"/>
      <c r="F12" s="27">
        <f t="shared" si="2"/>
        <v>0</v>
      </c>
      <c r="H12" s="22">
        <f t="shared" si="0"/>
        <v>0</v>
      </c>
    </row>
    <row r="13" spans="1:16">
      <c r="B13" s="14"/>
      <c r="C13" s="14"/>
      <c r="D13" s="15">
        <f t="shared" si="1"/>
        <v>0</v>
      </c>
      <c r="E13" s="14"/>
      <c r="F13" s="27">
        <f t="shared" si="2"/>
        <v>0</v>
      </c>
      <c r="H13" s="22">
        <f t="shared" si="0"/>
        <v>0</v>
      </c>
    </row>
    <row r="14" spans="1:16">
      <c r="B14" s="14"/>
      <c r="C14" s="14"/>
      <c r="D14" s="15">
        <f t="shared" si="1"/>
        <v>0</v>
      </c>
      <c r="E14" s="14"/>
      <c r="F14" s="27">
        <f t="shared" si="2"/>
        <v>0</v>
      </c>
      <c r="H14" s="22">
        <f t="shared" si="0"/>
        <v>0</v>
      </c>
    </row>
    <row r="15" spans="1:16">
      <c r="B15" s="14"/>
      <c r="C15" s="14"/>
      <c r="D15" s="15">
        <f t="shared" si="1"/>
        <v>0</v>
      </c>
      <c r="E15" s="14"/>
      <c r="F15" s="27">
        <f t="shared" si="2"/>
        <v>0</v>
      </c>
      <c r="H15" s="22">
        <f t="shared" si="0"/>
        <v>0</v>
      </c>
    </row>
    <row r="16" spans="1:16">
      <c r="B16" s="14"/>
      <c r="C16" s="14"/>
      <c r="D16" s="15">
        <f t="shared" si="1"/>
        <v>0</v>
      </c>
      <c r="E16" s="14"/>
      <c r="F16" s="27">
        <f t="shared" si="2"/>
        <v>0</v>
      </c>
      <c r="H16" s="22">
        <f t="shared" si="0"/>
        <v>0</v>
      </c>
    </row>
    <row r="17" spans="1:14">
      <c r="B17" s="14"/>
      <c r="C17" s="14"/>
      <c r="D17" s="15">
        <f t="shared" si="1"/>
        <v>0</v>
      </c>
      <c r="E17" s="14"/>
      <c r="F17" s="27">
        <f t="shared" si="2"/>
        <v>0</v>
      </c>
      <c r="H17" s="22">
        <f t="shared" si="0"/>
        <v>0</v>
      </c>
    </row>
    <row r="18" spans="1:14">
      <c r="B18" s="14"/>
      <c r="C18" s="14"/>
      <c r="D18" s="15">
        <f t="shared" si="1"/>
        <v>0</v>
      </c>
      <c r="E18" s="14"/>
      <c r="F18" s="27">
        <f t="shared" si="2"/>
        <v>0</v>
      </c>
      <c r="H18" s="22">
        <f t="shared" si="0"/>
        <v>0</v>
      </c>
    </row>
    <row r="19" spans="1:14">
      <c r="B19" s="14"/>
      <c r="C19" s="14"/>
      <c r="D19" s="15">
        <f t="shared" si="1"/>
        <v>0</v>
      </c>
      <c r="E19" s="14"/>
      <c r="F19" s="27">
        <f t="shared" si="2"/>
        <v>0</v>
      </c>
      <c r="H19" s="22">
        <f t="shared" si="0"/>
        <v>0</v>
      </c>
    </row>
    <row r="20" spans="1:14">
      <c r="B20" s="14"/>
      <c r="C20" s="14"/>
      <c r="D20" s="15">
        <f t="shared" si="1"/>
        <v>0</v>
      </c>
      <c r="E20" s="14"/>
      <c r="F20" s="27">
        <f t="shared" si="2"/>
        <v>0</v>
      </c>
      <c r="H20" s="22">
        <f t="shared" si="0"/>
        <v>0</v>
      </c>
    </row>
    <row r="21" spans="1:14">
      <c r="B21" s="14"/>
      <c r="C21" s="14"/>
      <c r="D21" s="15">
        <f t="shared" si="1"/>
        <v>0</v>
      </c>
      <c r="E21" s="14"/>
      <c r="F21" s="27">
        <f t="shared" si="2"/>
        <v>0</v>
      </c>
      <c r="H21" s="22">
        <f t="shared" si="0"/>
        <v>0</v>
      </c>
    </row>
    <row r="22" spans="1:14">
      <c r="B22" s="14"/>
      <c r="C22" s="14"/>
      <c r="D22" s="15">
        <f t="shared" si="1"/>
        <v>0</v>
      </c>
      <c r="E22" s="14"/>
      <c r="F22" s="27">
        <f t="shared" si="2"/>
        <v>0</v>
      </c>
      <c r="H22" s="22">
        <f t="shared" si="0"/>
        <v>0</v>
      </c>
    </row>
    <row r="23" spans="1:14">
      <c r="C23" s="184" t="s">
        <v>117</v>
      </c>
      <c r="D23" s="184"/>
      <c r="E23" s="28">
        <f>SUM(E4:E22)</f>
        <v>30</v>
      </c>
      <c r="F23" s="29"/>
      <c r="H23" s="22">
        <f>SUM(H4:H22)</f>
        <v>422.7</v>
      </c>
    </row>
    <row r="24" spans="1:14">
      <c r="C24" s="185" t="s">
        <v>118</v>
      </c>
      <c r="D24" s="185"/>
      <c r="E24" s="28">
        <f>SUMPRODUCT(D4:D22,E4:E22)</f>
        <v>558</v>
      </c>
      <c r="G24" t="s">
        <v>119</v>
      </c>
    </row>
    <row r="25" spans="1:14">
      <c r="A25" s="31"/>
      <c r="B25" s="32"/>
      <c r="C25" s="32"/>
      <c r="D25" s="33" t="s">
        <v>120</v>
      </c>
      <c r="E25" s="34">
        <f>E24/E23</f>
        <v>18.600000000000001</v>
      </c>
      <c r="F25" s="29"/>
      <c r="G25" t="s">
        <v>96</v>
      </c>
    </row>
    <row r="26" spans="1:14">
      <c r="A26" s="35"/>
      <c r="B26" s="36"/>
      <c r="C26" s="37"/>
      <c r="D26" s="37" t="s">
        <v>121</v>
      </c>
      <c r="E26" s="38">
        <f>H23/(E23-1)</f>
        <v>14.575862068965517</v>
      </c>
      <c r="F26" s="29"/>
      <c r="G26" s="181" t="s">
        <v>97</v>
      </c>
      <c r="H26" s="182"/>
      <c r="I26" s="183"/>
    </row>
    <row r="27" spans="1:14">
      <c r="A27" s="35"/>
      <c r="B27" s="36"/>
      <c r="C27" s="37"/>
      <c r="D27" s="37" t="s">
        <v>122</v>
      </c>
      <c r="E27" s="34">
        <f>SQRT(E26)</f>
        <v>3.8178347356800972</v>
      </c>
      <c r="F27" s="29"/>
      <c r="G27" s="19" t="s">
        <v>98</v>
      </c>
      <c r="H27" s="20"/>
      <c r="I27" s="21"/>
    </row>
    <row r="28" spans="1:14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4">
      <c r="B29" s="39" t="s">
        <v>123</v>
      </c>
      <c r="C29" s="39"/>
      <c r="D29" s="39"/>
      <c r="E29" s="39"/>
    </row>
    <row r="31" spans="1:14">
      <c r="B31" t="s">
        <v>124</v>
      </c>
      <c r="K31" s="180" t="s">
        <v>125</v>
      </c>
      <c r="L31" s="180"/>
      <c r="M31" s="180"/>
      <c r="N31" s="180"/>
    </row>
    <row r="32" spans="1:14">
      <c r="B32" s="14">
        <v>1</v>
      </c>
      <c r="D32" s="28">
        <f>COUNT(B32:B81)</f>
        <v>21</v>
      </c>
      <c r="E32" t="s">
        <v>3</v>
      </c>
      <c r="K32" s="179" t="s">
        <v>99</v>
      </c>
      <c r="L32" s="179"/>
    </row>
    <row r="33" spans="2:15">
      <c r="B33" s="14">
        <v>1</v>
      </c>
      <c r="D33" s="28">
        <f>ROUNDUP(LOG($D$32,2),0)</f>
        <v>5</v>
      </c>
      <c r="E33" t="s">
        <v>126</v>
      </c>
      <c r="K33" s="1" t="s">
        <v>110</v>
      </c>
      <c r="L33" s="1" t="s">
        <v>111</v>
      </c>
      <c r="M33" s="1" t="s">
        <v>22</v>
      </c>
      <c r="N33" s="1" t="s">
        <v>3</v>
      </c>
    </row>
    <row r="34" spans="2:15">
      <c r="B34" s="14">
        <v>2</v>
      </c>
      <c r="D34" s="14">
        <v>6</v>
      </c>
      <c r="E34" t="s">
        <v>127</v>
      </c>
      <c r="J34">
        <v>1</v>
      </c>
      <c r="K34" s="15">
        <f>D38</f>
        <v>1</v>
      </c>
      <c r="L34" s="15">
        <f t="shared" ref="L34:L52" si="3">K34+$D$36</f>
        <v>2</v>
      </c>
      <c r="M34" s="15">
        <f>AVERAGE(K34:L34)</f>
        <v>1.5</v>
      </c>
      <c r="N34" s="14">
        <v>1</v>
      </c>
      <c r="O34" s="40"/>
    </row>
    <row r="35" spans="2:15">
      <c r="B35" s="14">
        <v>2</v>
      </c>
      <c r="D35" s="27">
        <f>(MAX(B32:B81)-MIN(B32:B81))/D34</f>
        <v>2.3333333333333335</v>
      </c>
      <c r="E35" t="s">
        <v>128</v>
      </c>
      <c r="J35">
        <v>2</v>
      </c>
      <c r="K35" s="15">
        <f>L34</f>
        <v>2</v>
      </c>
      <c r="L35" s="15">
        <f t="shared" si="3"/>
        <v>3</v>
      </c>
      <c r="M35" s="15">
        <f t="shared" ref="M35:M52" si="4">AVERAGE(K35:L35)</f>
        <v>2.5</v>
      </c>
      <c r="N35" s="14">
        <v>0</v>
      </c>
      <c r="O35" s="40"/>
    </row>
    <row r="36" spans="2:15">
      <c r="B36" s="14">
        <v>2</v>
      </c>
      <c r="D36" s="14">
        <v>1</v>
      </c>
      <c r="E36" t="s">
        <v>129</v>
      </c>
      <c r="J36">
        <v>3</v>
      </c>
      <c r="K36" s="15">
        <f t="shared" ref="K36:K52" si="5">L35</f>
        <v>3</v>
      </c>
      <c r="L36" s="15">
        <f t="shared" si="3"/>
        <v>4</v>
      </c>
      <c r="M36" s="15">
        <f t="shared" si="4"/>
        <v>3.5</v>
      </c>
      <c r="N36" s="14">
        <v>9</v>
      </c>
      <c r="O36" s="40"/>
    </row>
    <row r="37" spans="2:15">
      <c r="B37" s="14">
        <v>2</v>
      </c>
      <c r="D37" s="28">
        <f>MIN(B32:B81)</f>
        <v>1</v>
      </c>
      <c r="E37" t="s">
        <v>130</v>
      </c>
      <c r="J37">
        <v>4</v>
      </c>
      <c r="K37" s="15">
        <f t="shared" si="5"/>
        <v>4</v>
      </c>
      <c r="L37" s="15">
        <f t="shared" si="3"/>
        <v>5</v>
      </c>
      <c r="M37" s="15">
        <f t="shared" si="4"/>
        <v>4.5</v>
      </c>
      <c r="N37" s="14">
        <v>11</v>
      </c>
    </row>
    <row r="38" spans="2:15">
      <c r="B38" s="14">
        <v>2</v>
      </c>
      <c r="D38" s="14">
        <v>1</v>
      </c>
      <c r="E38" t="s">
        <v>131</v>
      </c>
      <c r="J38">
        <v>5</v>
      </c>
      <c r="K38" s="15">
        <f t="shared" si="5"/>
        <v>5</v>
      </c>
      <c r="L38" s="15">
        <f t="shared" si="3"/>
        <v>6</v>
      </c>
      <c r="M38" s="15">
        <f t="shared" si="4"/>
        <v>5.5</v>
      </c>
      <c r="N38" s="14">
        <v>9</v>
      </c>
    </row>
    <row r="39" spans="2:15">
      <c r="B39" s="14">
        <v>3</v>
      </c>
      <c r="J39">
        <v>6</v>
      </c>
      <c r="K39" s="15">
        <f t="shared" si="5"/>
        <v>6</v>
      </c>
      <c r="L39" s="15">
        <f t="shared" si="3"/>
        <v>7</v>
      </c>
      <c r="M39" s="15">
        <f t="shared" si="4"/>
        <v>6.5</v>
      </c>
      <c r="N39" s="14">
        <v>6</v>
      </c>
    </row>
    <row r="40" spans="2:15">
      <c r="B40" s="14">
        <v>3</v>
      </c>
      <c r="J40">
        <v>7</v>
      </c>
      <c r="K40" s="15">
        <f t="shared" si="5"/>
        <v>7</v>
      </c>
      <c r="L40" s="15">
        <f t="shared" si="3"/>
        <v>8</v>
      </c>
      <c r="M40" s="15">
        <f t="shared" si="4"/>
        <v>7.5</v>
      </c>
      <c r="N40" s="14">
        <v>0</v>
      </c>
    </row>
    <row r="41" spans="2:15">
      <c r="B41" s="14">
        <v>3</v>
      </c>
      <c r="E41" s="180" t="s">
        <v>132</v>
      </c>
      <c r="F41" s="180"/>
      <c r="J41">
        <v>8</v>
      </c>
      <c r="K41" s="15">
        <f t="shared" si="5"/>
        <v>8</v>
      </c>
      <c r="L41" s="15">
        <f t="shared" si="3"/>
        <v>9</v>
      </c>
      <c r="M41" s="15">
        <f t="shared" si="4"/>
        <v>8.5</v>
      </c>
      <c r="N41" s="14"/>
    </row>
    <row r="42" spans="2:15">
      <c r="B42" s="14">
        <v>3</v>
      </c>
      <c r="E42" s="180" t="s">
        <v>133</v>
      </c>
      <c r="F42" s="180"/>
      <c r="J42">
        <v>9</v>
      </c>
      <c r="K42" s="15">
        <f t="shared" si="5"/>
        <v>9</v>
      </c>
      <c r="L42" s="15">
        <f t="shared" si="3"/>
        <v>10</v>
      </c>
      <c r="M42" s="15">
        <f t="shared" si="4"/>
        <v>9.5</v>
      </c>
      <c r="N42" s="14"/>
    </row>
    <row r="43" spans="2:15">
      <c r="B43" s="14">
        <v>4</v>
      </c>
      <c r="E43" s="41" t="s">
        <v>19</v>
      </c>
      <c r="F43" s="42" t="s">
        <v>134</v>
      </c>
      <c r="J43">
        <v>10</v>
      </c>
      <c r="K43" s="15">
        <f t="shared" si="5"/>
        <v>10</v>
      </c>
      <c r="L43" s="15">
        <f t="shared" si="3"/>
        <v>11</v>
      </c>
      <c r="M43" s="15">
        <f t="shared" si="4"/>
        <v>10.5</v>
      </c>
      <c r="N43" s="14"/>
    </row>
    <row r="44" spans="2:15">
      <c r="B44" s="14">
        <v>4</v>
      </c>
      <c r="E44">
        <v>1</v>
      </c>
      <c r="F44" s="28">
        <f>2^E44</f>
        <v>2</v>
      </c>
      <c r="K44" s="15">
        <f t="shared" si="5"/>
        <v>11</v>
      </c>
      <c r="L44" s="15">
        <f t="shared" si="3"/>
        <v>12</v>
      </c>
      <c r="M44" s="15">
        <f t="shared" si="4"/>
        <v>11.5</v>
      </c>
      <c r="N44" s="14"/>
    </row>
    <row r="45" spans="2:15">
      <c r="B45" s="14">
        <v>4</v>
      </c>
      <c r="E45">
        <v>2</v>
      </c>
      <c r="F45" s="28">
        <f t="shared" ref="F45:F53" si="6">2^E45</f>
        <v>4</v>
      </c>
      <c r="K45" s="15">
        <f t="shared" si="5"/>
        <v>12</v>
      </c>
      <c r="L45" s="15">
        <f t="shared" si="3"/>
        <v>13</v>
      </c>
      <c r="M45" s="15">
        <f t="shared" si="4"/>
        <v>12.5</v>
      </c>
      <c r="N45" s="14"/>
    </row>
    <row r="46" spans="2:15">
      <c r="B46" s="14">
        <v>4</v>
      </c>
      <c r="E46">
        <v>3</v>
      </c>
      <c r="F46" s="28">
        <f t="shared" si="6"/>
        <v>8</v>
      </c>
      <c r="K46" s="15">
        <f t="shared" si="5"/>
        <v>13</v>
      </c>
      <c r="L46" s="15">
        <f t="shared" si="3"/>
        <v>14</v>
      </c>
      <c r="M46" s="15">
        <f t="shared" si="4"/>
        <v>13.5</v>
      </c>
      <c r="N46" s="14"/>
    </row>
    <row r="47" spans="2:15">
      <c r="B47" s="14">
        <v>4</v>
      </c>
      <c r="E47">
        <v>4</v>
      </c>
      <c r="F47" s="28">
        <f t="shared" si="6"/>
        <v>16</v>
      </c>
      <c r="K47" s="15">
        <f t="shared" si="5"/>
        <v>14</v>
      </c>
      <c r="L47" s="15">
        <f t="shared" si="3"/>
        <v>15</v>
      </c>
      <c r="M47" s="15">
        <f t="shared" si="4"/>
        <v>14.5</v>
      </c>
      <c r="N47" s="14"/>
    </row>
    <row r="48" spans="2:15">
      <c r="B48" s="14">
        <v>5</v>
      </c>
      <c r="E48">
        <v>5</v>
      </c>
      <c r="F48" s="28">
        <f t="shared" si="6"/>
        <v>32</v>
      </c>
      <c r="K48" s="15">
        <f t="shared" si="5"/>
        <v>15</v>
      </c>
      <c r="L48" s="15">
        <f t="shared" si="3"/>
        <v>16</v>
      </c>
      <c r="M48" s="15">
        <f t="shared" si="4"/>
        <v>15.5</v>
      </c>
      <c r="N48" s="14"/>
    </row>
    <row r="49" spans="2:16">
      <c r="B49" s="14">
        <v>5</v>
      </c>
      <c r="E49">
        <v>6</v>
      </c>
      <c r="F49" s="28">
        <f t="shared" si="6"/>
        <v>64</v>
      </c>
      <c r="K49" s="15">
        <f t="shared" si="5"/>
        <v>16</v>
      </c>
      <c r="L49" s="15">
        <f t="shared" si="3"/>
        <v>17</v>
      </c>
      <c r="M49" s="15">
        <f t="shared" si="4"/>
        <v>16.5</v>
      </c>
      <c r="N49" s="14"/>
    </row>
    <row r="50" spans="2:16">
      <c r="B50" s="14">
        <v>6</v>
      </c>
      <c r="E50">
        <v>7</v>
      </c>
      <c r="F50" s="28">
        <f t="shared" si="6"/>
        <v>128</v>
      </c>
      <c r="K50" s="15">
        <f t="shared" si="5"/>
        <v>17</v>
      </c>
      <c r="L50" s="15">
        <f t="shared" si="3"/>
        <v>18</v>
      </c>
      <c r="M50" s="15">
        <f t="shared" si="4"/>
        <v>17.5</v>
      </c>
      <c r="N50" s="14"/>
    </row>
    <row r="51" spans="2:16">
      <c r="B51" s="14">
        <v>7</v>
      </c>
      <c r="E51">
        <v>8</v>
      </c>
      <c r="F51" s="28">
        <f t="shared" si="6"/>
        <v>256</v>
      </c>
      <c r="K51" s="15">
        <f t="shared" si="5"/>
        <v>18</v>
      </c>
      <c r="L51" s="15">
        <f t="shared" si="3"/>
        <v>19</v>
      </c>
      <c r="M51" s="15">
        <f t="shared" si="4"/>
        <v>18.5</v>
      </c>
      <c r="N51" s="14"/>
    </row>
    <row r="52" spans="2:16">
      <c r="B52" s="14">
        <v>15</v>
      </c>
      <c r="E52">
        <v>9</v>
      </c>
      <c r="F52" s="28">
        <f t="shared" si="6"/>
        <v>512</v>
      </c>
      <c r="K52" s="15">
        <f t="shared" si="5"/>
        <v>19</v>
      </c>
      <c r="L52" s="15">
        <f t="shared" si="3"/>
        <v>20</v>
      </c>
      <c r="M52" s="15">
        <f t="shared" si="4"/>
        <v>19.5</v>
      </c>
      <c r="N52" s="14"/>
    </row>
    <row r="53" spans="2:16">
      <c r="B53" s="14"/>
      <c r="E53">
        <v>10</v>
      </c>
      <c r="F53" s="28">
        <f t="shared" si="6"/>
        <v>1024</v>
      </c>
      <c r="L53" s="184" t="s">
        <v>117</v>
      </c>
      <c r="M53" s="184"/>
      <c r="N53" s="28">
        <f>SUM(N34:N52)</f>
        <v>36</v>
      </c>
      <c r="O53" s="29"/>
    </row>
    <row r="54" spans="2:16">
      <c r="B54" s="14"/>
      <c r="L54" s="185" t="s">
        <v>118</v>
      </c>
      <c r="M54" s="185"/>
      <c r="N54" s="28">
        <f>SUMPRODUCT(M34:M52,N34:N52)</f>
        <v>171</v>
      </c>
      <c r="P54" t="s">
        <v>135</v>
      </c>
    </row>
    <row r="55" spans="2:16">
      <c r="B55" s="14"/>
      <c r="L55" s="185" t="s">
        <v>136</v>
      </c>
      <c r="M55" s="185"/>
      <c r="N55" s="28">
        <f>N54/N53</f>
        <v>4.75</v>
      </c>
      <c r="O55" s="29"/>
    </row>
    <row r="56" spans="2:16">
      <c r="B56" s="14"/>
    </row>
    <row r="57" spans="2:16">
      <c r="B57" s="14"/>
      <c r="D57" t="s">
        <v>96</v>
      </c>
    </row>
    <row r="58" spans="2:16">
      <c r="B58" s="14"/>
      <c r="D58" s="181" t="s">
        <v>97</v>
      </c>
      <c r="E58" s="182"/>
      <c r="F58" s="183"/>
    </row>
    <row r="59" spans="2:16">
      <c r="B59" s="14"/>
      <c r="D59" s="19" t="s">
        <v>98</v>
      </c>
      <c r="E59" s="20"/>
      <c r="F59" s="21"/>
    </row>
    <row r="60" spans="2:16">
      <c r="B60" s="14"/>
    </row>
    <row r="61" spans="2:16">
      <c r="B61" s="14"/>
    </row>
    <row r="62" spans="2:16">
      <c r="B62" s="14"/>
    </row>
    <row r="63" spans="2:16">
      <c r="B63" s="14"/>
    </row>
    <row r="64" spans="2:16">
      <c r="B64" s="14"/>
    </row>
    <row r="65" spans="2:2">
      <c r="B65" s="14"/>
    </row>
    <row r="66" spans="2:2">
      <c r="B66" s="14"/>
    </row>
    <row r="67" spans="2:2">
      <c r="B67" s="14"/>
    </row>
    <row r="68" spans="2:2">
      <c r="B68" s="14"/>
    </row>
    <row r="69" spans="2:2">
      <c r="B69" s="14"/>
    </row>
    <row r="70" spans="2:2">
      <c r="B70" s="14"/>
    </row>
    <row r="71" spans="2:2">
      <c r="B71" s="14"/>
    </row>
    <row r="72" spans="2:2">
      <c r="B72" s="14"/>
    </row>
    <row r="73" spans="2:2">
      <c r="B73" s="14"/>
    </row>
    <row r="74" spans="2:2">
      <c r="B74" s="14"/>
    </row>
    <row r="75" spans="2:2">
      <c r="B75" s="14"/>
    </row>
    <row r="76" spans="2:2">
      <c r="B76" s="14"/>
    </row>
    <row r="77" spans="2:2">
      <c r="B77" s="14"/>
    </row>
    <row r="78" spans="2:2">
      <c r="B78" s="14"/>
    </row>
    <row r="79" spans="2:2">
      <c r="B79" s="14"/>
    </row>
    <row r="80" spans="2:2">
      <c r="B80" s="14"/>
    </row>
    <row r="81" spans="2:2">
      <c r="B81" s="14"/>
    </row>
  </sheetData>
  <customSheetViews>
    <customSheetView guid="{9094556B-1172-42A9-AACE-3CBB4E66E327}" fitToPage="1">
      <pageMargins left="0.7" right="0.7" top="0.75" bottom="0.75" header="0.3" footer="0.3"/>
      <pageSetup scale="42" orientation="landscape" r:id="rId1"/>
    </customSheetView>
    <customSheetView guid="{E0CEE470-0FBC-4B40-B93D-97AD4064B6C8}" fitToPage="1">
      <pageMargins left="0.7" right="0.7" top="0.75" bottom="0.75" header="0.3" footer="0.3"/>
      <pageSetup scale="42" orientation="landscape" r:id="rId2"/>
    </customSheetView>
  </customSheetViews>
  <mergeCells count="12">
    <mergeCell ref="K32:L32"/>
    <mergeCell ref="B2:C2"/>
    <mergeCell ref="C23:D23"/>
    <mergeCell ref="C24:D24"/>
    <mergeCell ref="G26:I26"/>
    <mergeCell ref="K31:N31"/>
    <mergeCell ref="D58:F58"/>
    <mergeCell ref="E41:F41"/>
    <mergeCell ref="E42:F42"/>
    <mergeCell ref="L53:M53"/>
    <mergeCell ref="L54:M54"/>
    <mergeCell ref="L55:M55"/>
  </mergeCells>
  <pageMargins left="0.7" right="0.7" top="0.75" bottom="0.75" header="0.3" footer="0.3"/>
  <pageSetup scale="42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5"/>
  <sheetViews>
    <sheetView workbookViewId="0"/>
  </sheetViews>
  <sheetFormatPr defaultRowHeight="15"/>
  <cols>
    <col min="1" max="1" width="37.28515625" bestFit="1" customWidth="1"/>
  </cols>
  <sheetData>
    <row r="1" spans="1:6">
      <c r="A1" s="4" t="s">
        <v>149</v>
      </c>
    </row>
    <row r="4" spans="1:6">
      <c r="A4" s="1" t="s">
        <v>150</v>
      </c>
      <c r="B4" s="14">
        <v>8</v>
      </c>
    </row>
    <row r="5" spans="1:6">
      <c r="A5" s="1" t="s">
        <v>151</v>
      </c>
      <c r="B5" s="14">
        <v>4</v>
      </c>
    </row>
    <row r="7" spans="1:6">
      <c r="A7" s="1" t="s">
        <v>152</v>
      </c>
      <c r="B7" s="15">
        <f>B4*B5</f>
        <v>32</v>
      </c>
      <c r="D7" t="s">
        <v>158</v>
      </c>
    </row>
    <row r="8" spans="1:6">
      <c r="A8" s="1" t="s">
        <v>153</v>
      </c>
      <c r="B8" s="15">
        <f>PERMUT(B4,B5)</f>
        <v>1680</v>
      </c>
    </row>
    <row r="9" spans="1:6">
      <c r="A9" s="1" t="s">
        <v>154</v>
      </c>
      <c r="B9" s="15">
        <f>COMBIN(B4,B5)</f>
        <v>70</v>
      </c>
    </row>
    <row r="12" spans="1:6">
      <c r="F12" t="s">
        <v>155</v>
      </c>
    </row>
    <row r="13" spans="1:6">
      <c r="A13" t="s">
        <v>96</v>
      </c>
      <c r="F13" t="s">
        <v>157</v>
      </c>
    </row>
    <row r="14" spans="1:6">
      <c r="A14" s="186" t="s">
        <v>97</v>
      </c>
      <c r="B14" s="187"/>
      <c r="C14" s="188"/>
      <c r="F14" t="s">
        <v>159</v>
      </c>
    </row>
    <row r="15" spans="1:6">
      <c r="A15" s="19" t="s">
        <v>98</v>
      </c>
      <c r="B15" s="20"/>
      <c r="C15" s="21"/>
      <c r="F15" t="s">
        <v>156</v>
      </c>
    </row>
  </sheetData>
  <customSheetViews>
    <customSheetView guid="{9094556B-1172-42A9-AACE-3CBB4E66E327}">
      <selection activeCell="B5" sqref="B5"/>
      <pageMargins left="0.7" right="0.7" top="0.75" bottom="0.75" header="0.3" footer="0.3"/>
    </customSheetView>
    <customSheetView guid="{E0CEE470-0FBC-4B40-B93D-97AD4064B6C8}">
      <selection activeCell="B5" sqref="B5"/>
      <pageMargins left="0.7" right="0.7" top="0.75" bottom="0.75" header="0.3" footer="0.3"/>
    </customSheetView>
  </customSheetViews>
  <mergeCells count="1">
    <mergeCell ref="A14:C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53"/>
  <sheetViews>
    <sheetView workbookViewId="0"/>
  </sheetViews>
  <sheetFormatPr defaultRowHeight="15"/>
  <cols>
    <col min="1" max="1" width="26.42578125" customWidth="1"/>
    <col min="2" max="2" width="9.140625" customWidth="1"/>
    <col min="3" max="3" width="28.28515625" customWidth="1"/>
    <col min="4" max="7" width="9.140625" customWidth="1"/>
    <col min="20" max="20" width="24.42578125" customWidth="1"/>
    <col min="21" max="23" width="16.5703125" style="46" customWidth="1"/>
  </cols>
  <sheetData>
    <row r="1" spans="1:23">
      <c r="A1" s="4" t="s">
        <v>163</v>
      </c>
      <c r="H1" s="189" t="s">
        <v>183</v>
      </c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U1" s="179" t="s">
        <v>195</v>
      </c>
      <c r="V1" s="179"/>
      <c r="W1" s="179"/>
    </row>
    <row r="2" spans="1:23">
      <c r="A2" s="4" t="s">
        <v>164</v>
      </c>
      <c r="H2" s="54" t="s">
        <v>184</v>
      </c>
      <c r="I2" s="55">
        <f>B9</f>
        <v>10</v>
      </c>
      <c r="J2" s="56"/>
      <c r="K2" s="56"/>
      <c r="L2" s="56"/>
      <c r="M2" s="56"/>
      <c r="N2" s="56"/>
      <c r="O2" s="56"/>
      <c r="P2" s="56"/>
      <c r="Q2" s="56"/>
      <c r="R2" s="56"/>
      <c r="S2" s="57"/>
      <c r="U2" s="46" t="s">
        <v>192</v>
      </c>
      <c r="V2" s="46" t="str">
        <f>IF(B10="n", "Exact Probability", "Cumulative Probability")</f>
        <v>Cumulative Probability</v>
      </c>
      <c r="W2" s="70" t="s">
        <v>198</v>
      </c>
    </row>
    <row r="3" spans="1:23">
      <c r="H3" s="190" t="s">
        <v>185</v>
      </c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91"/>
      <c r="U3" s="46">
        <v>0</v>
      </c>
      <c r="V3" s="68">
        <f>BINOMDIST($U3,$B$9,$B$5,IF(UPPER($B$11)="Y",1,0))</f>
        <v>9.765625E-4</v>
      </c>
      <c r="W3" s="68">
        <f>IF(AND($B$11="y",U3&lt;=$B$10),$V3,IF($U3=$B$10,$V3,0))</f>
        <v>0</v>
      </c>
    </row>
    <row r="4" spans="1:23">
      <c r="A4" t="s">
        <v>165</v>
      </c>
      <c r="H4" s="58" t="s">
        <v>186</v>
      </c>
      <c r="I4" s="59">
        <v>0.05</v>
      </c>
      <c r="J4" s="59">
        <v>0.1</v>
      </c>
      <c r="K4" s="59">
        <v>0.2</v>
      </c>
      <c r="L4" s="59">
        <v>0.30000000000000004</v>
      </c>
      <c r="M4" s="59">
        <v>0.4</v>
      </c>
      <c r="N4" s="59">
        <v>0.5</v>
      </c>
      <c r="O4" s="59">
        <v>0.6</v>
      </c>
      <c r="P4" s="59">
        <v>0.7</v>
      </c>
      <c r="Q4" s="59">
        <v>0.79999999999999993</v>
      </c>
      <c r="R4" s="59">
        <v>0.89999999999999991</v>
      </c>
      <c r="S4" s="60">
        <v>0.95</v>
      </c>
      <c r="U4" s="46">
        <v>1</v>
      </c>
      <c r="V4" s="68">
        <f t="shared" ref="V4:V53" si="0">BINOMDIST($U4,$B$9,$B$5,IF(UPPER($B$11)="Y",1,0))</f>
        <v>9.765625E-3</v>
      </c>
      <c r="W4" s="68">
        <f t="shared" ref="W4:W53" si="1">IF(AND($B$11="y",U4&lt;=$B$10),$V4,IF($U4=$B$10,$V4,0))</f>
        <v>0</v>
      </c>
    </row>
    <row r="5" spans="1:23">
      <c r="A5" t="s">
        <v>166</v>
      </c>
      <c r="B5" s="14">
        <v>0.5</v>
      </c>
      <c r="C5" t="s">
        <v>167</v>
      </c>
      <c r="H5" s="61">
        <v>0</v>
      </c>
      <c r="I5" s="62">
        <f>IF($H5&lt;=$I$2,BINOMDIST($H5,$I$2,I$4,IF(UPPER($B$11)="Y",1,0)),"")</f>
        <v>0.59873693923837867</v>
      </c>
      <c r="J5" s="62">
        <f t="shared" ref="J5:S5" si="2">IF($H5&lt;=$I$2,BINOMDIST($H5,$I$2,J$4,IF(UPPER($B$11)="Y",1,0)),"")</f>
        <v>0.34867844010000004</v>
      </c>
      <c r="K5" s="62">
        <f t="shared" si="2"/>
        <v>0.10737418240000005</v>
      </c>
      <c r="L5" s="62">
        <f t="shared" si="2"/>
        <v>2.824752489999998E-2</v>
      </c>
      <c r="M5" s="62">
        <f t="shared" si="2"/>
        <v>6.0466176E-3</v>
      </c>
      <c r="N5" s="62">
        <f t="shared" si="2"/>
        <v>9.765625E-4</v>
      </c>
      <c r="O5" s="62">
        <f t="shared" si="2"/>
        <v>1.0485760000000014E-4</v>
      </c>
      <c r="P5" s="62">
        <f t="shared" si="2"/>
        <v>5.9049000000000059E-6</v>
      </c>
      <c r="Q5" s="62">
        <f t="shared" si="2"/>
        <v>1.0240000000000041E-7</v>
      </c>
      <c r="R5" s="62">
        <f t="shared" si="2"/>
        <v>1.0000000000000068E-10</v>
      </c>
      <c r="S5" s="63">
        <f t="shared" si="2"/>
        <v>9.7656250000000912E-14</v>
      </c>
      <c r="U5" s="46">
        <v>2</v>
      </c>
      <c r="V5" s="68">
        <f t="shared" si="0"/>
        <v>4.3945312500000007E-2</v>
      </c>
      <c r="W5" s="68">
        <f t="shared" si="1"/>
        <v>0</v>
      </c>
    </row>
    <row r="6" spans="1:23">
      <c r="A6" t="s">
        <v>191</v>
      </c>
      <c r="B6" s="15">
        <f>1-B5</f>
        <v>0.5</v>
      </c>
      <c r="H6" s="61">
        <v>1</v>
      </c>
      <c r="I6" s="62">
        <f t="shared" ref="I6:S29" si="3">IF($H6&lt;=$I$2,BINOMDIST($H6,$I$2,I$4,IF(UPPER($B$11)="Y",1,0)),"")</f>
        <v>0.31512470486230459</v>
      </c>
      <c r="J6" s="62">
        <f t="shared" si="3"/>
        <v>0.38742048900000015</v>
      </c>
      <c r="K6" s="62">
        <f t="shared" si="3"/>
        <v>0.26843545600000013</v>
      </c>
      <c r="L6" s="62">
        <f t="shared" si="3"/>
        <v>0.12106082099999993</v>
      </c>
      <c r="M6" s="62">
        <f t="shared" si="3"/>
        <v>4.0310783999999995E-2</v>
      </c>
      <c r="N6" s="62">
        <f t="shared" si="3"/>
        <v>9.765625E-3</v>
      </c>
      <c r="O6" s="62">
        <f t="shared" si="3"/>
        <v>1.5728640000000006E-3</v>
      </c>
      <c r="P6" s="62">
        <f t="shared" si="3"/>
        <v>1.3778100000000012E-4</v>
      </c>
      <c r="Q6" s="62">
        <f t="shared" si="3"/>
        <v>4.096000000000013E-6</v>
      </c>
      <c r="R6" s="62">
        <f t="shared" si="3"/>
        <v>9.000000000000069E-9</v>
      </c>
      <c r="S6" s="63">
        <f t="shared" si="3"/>
        <v>1.8554687500000163E-11</v>
      </c>
      <c r="U6" s="46">
        <v>3</v>
      </c>
      <c r="V6" s="68">
        <f t="shared" si="0"/>
        <v>0.11718750000000006</v>
      </c>
      <c r="W6" s="68">
        <f t="shared" si="1"/>
        <v>0</v>
      </c>
    </row>
    <row r="7" spans="1:23">
      <c r="H7" s="61">
        <v>2</v>
      </c>
      <c r="I7" s="62">
        <f t="shared" si="3"/>
        <v>7.4634798520019516E-2</v>
      </c>
      <c r="J7" s="62">
        <f t="shared" si="3"/>
        <v>0.1937102445000001</v>
      </c>
      <c r="K7" s="62">
        <f t="shared" si="3"/>
        <v>0.30198988800000015</v>
      </c>
      <c r="L7" s="62">
        <f t="shared" si="3"/>
        <v>0.23347444049999994</v>
      </c>
      <c r="M7" s="62">
        <f t="shared" si="3"/>
        <v>0.12093235199999998</v>
      </c>
      <c r="N7" s="62">
        <f t="shared" si="3"/>
        <v>4.3945312500000007E-2</v>
      </c>
      <c r="O7" s="62">
        <f t="shared" si="3"/>
        <v>1.0616832000000005E-2</v>
      </c>
      <c r="P7" s="62">
        <f t="shared" si="3"/>
        <v>1.4467005000000008E-3</v>
      </c>
      <c r="Q7" s="62">
        <f t="shared" si="3"/>
        <v>7.3728000000000172E-5</v>
      </c>
      <c r="R7" s="62">
        <f t="shared" si="3"/>
        <v>3.6450000000000192E-7</v>
      </c>
      <c r="S7" s="63">
        <f t="shared" si="3"/>
        <v>1.5864257812500131E-9</v>
      </c>
      <c r="U7" s="46">
        <v>4</v>
      </c>
      <c r="V7" s="68">
        <f t="shared" si="0"/>
        <v>0.20507812500000006</v>
      </c>
      <c r="W7" s="68">
        <f t="shared" si="1"/>
        <v>0</v>
      </c>
    </row>
    <row r="8" spans="1:23">
      <c r="A8" s="45" t="s">
        <v>168</v>
      </c>
      <c r="H8" s="61">
        <v>3</v>
      </c>
      <c r="I8" s="62">
        <f t="shared" si="3"/>
        <v>1.0475059441406247E-2</v>
      </c>
      <c r="J8" s="62">
        <f t="shared" si="3"/>
        <v>5.7395628000000018E-2</v>
      </c>
      <c r="K8" s="62">
        <f t="shared" si="3"/>
        <v>0.20132659200000017</v>
      </c>
      <c r="L8" s="62">
        <f t="shared" si="3"/>
        <v>0.26682793199999993</v>
      </c>
      <c r="M8" s="62">
        <f t="shared" si="3"/>
        <v>0.21499084799999993</v>
      </c>
      <c r="N8" s="62">
        <f t="shared" si="3"/>
        <v>0.11718750000000006</v>
      </c>
      <c r="O8" s="62">
        <f t="shared" si="3"/>
        <v>4.2467328000000019E-2</v>
      </c>
      <c r="P8" s="62">
        <f t="shared" si="3"/>
        <v>9.0016920000000038E-3</v>
      </c>
      <c r="Q8" s="62">
        <f t="shared" si="3"/>
        <v>7.8643200000000108E-4</v>
      </c>
      <c r="R8" s="62">
        <f t="shared" si="3"/>
        <v>8.748000000000022E-6</v>
      </c>
      <c r="S8" s="63">
        <f t="shared" si="3"/>
        <v>8.0378906250000608E-8</v>
      </c>
      <c r="U8" s="46">
        <v>5</v>
      </c>
      <c r="V8" s="68">
        <f t="shared" si="0"/>
        <v>0.24609375</v>
      </c>
      <c r="W8" s="68">
        <f t="shared" si="1"/>
        <v>0.24609375</v>
      </c>
    </row>
    <row r="9" spans="1:23">
      <c r="A9" s="45" t="s">
        <v>169</v>
      </c>
      <c r="B9" s="14">
        <v>10</v>
      </c>
      <c r="C9" t="s">
        <v>170</v>
      </c>
      <c r="H9" s="61">
        <v>4</v>
      </c>
      <c r="I9" s="62">
        <f t="shared" si="3"/>
        <v>9.6480810644531258E-4</v>
      </c>
      <c r="J9" s="62">
        <f t="shared" si="3"/>
        <v>1.116026100000001E-2</v>
      </c>
      <c r="K9" s="62">
        <f t="shared" si="3"/>
        <v>8.8080384000000053E-2</v>
      </c>
      <c r="L9" s="62">
        <f t="shared" si="3"/>
        <v>0.20012094899999996</v>
      </c>
      <c r="M9" s="62">
        <f t="shared" si="3"/>
        <v>0.25082265599999998</v>
      </c>
      <c r="N9" s="62">
        <f t="shared" si="3"/>
        <v>0.20507812500000006</v>
      </c>
      <c r="O9" s="62">
        <f t="shared" si="3"/>
        <v>0.11147673600000003</v>
      </c>
      <c r="P9" s="62">
        <f t="shared" si="3"/>
        <v>3.6756909000000004E-2</v>
      </c>
      <c r="Q9" s="62">
        <f t="shared" si="3"/>
        <v>5.5050240000000033E-3</v>
      </c>
      <c r="R9" s="62">
        <f t="shared" si="3"/>
        <v>1.3778100000000048E-4</v>
      </c>
      <c r="S9" s="63">
        <f t="shared" si="3"/>
        <v>2.6725986328125182E-6</v>
      </c>
      <c r="U9" s="46">
        <v>6</v>
      </c>
      <c r="V9" s="68">
        <f t="shared" si="0"/>
        <v>0.20507812500000006</v>
      </c>
      <c r="W9" s="68">
        <f t="shared" si="1"/>
        <v>0</v>
      </c>
    </row>
    <row r="10" spans="1:23">
      <c r="A10" s="45" t="s">
        <v>171</v>
      </c>
      <c r="B10" s="14">
        <v>5</v>
      </c>
      <c r="C10" t="str">
        <f>IF(UPPER(B11)="Y", "or less", "exactly")</f>
        <v>exactly</v>
      </c>
      <c r="H10" s="61">
        <v>5</v>
      </c>
      <c r="I10" s="62">
        <f t="shared" si="3"/>
        <v>6.0935248828125048E-5</v>
      </c>
      <c r="J10" s="62">
        <f t="shared" si="3"/>
        <v>1.4880348000000025E-3</v>
      </c>
      <c r="K10" s="62">
        <f t="shared" si="3"/>
        <v>2.6424115200000011E-2</v>
      </c>
      <c r="L10" s="62">
        <f t="shared" si="3"/>
        <v>0.10291934520000003</v>
      </c>
      <c r="M10" s="62">
        <f t="shared" si="3"/>
        <v>0.20065812480000014</v>
      </c>
      <c r="N10" s="62">
        <f t="shared" si="3"/>
        <v>0.24609375</v>
      </c>
      <c r="O10" s="62">
        <f t="shared" si="3"/>
        <v>0.20065812480000017</v>
      </c>
      <c r="P10" s="62">
        <f t="shared" si="3"/>
        <v>0.10291934520000001</v>
      </c>
      <c r="Q10" s="62">
        <f t="shared" si="3"/>
        <v>2.6424115200000039E-2</v>
      </c>
      <c r="R10" s="62">
        <f t="shared" si="3"/>
        <v>1.4880348000000042E-3</v>
      </c>
      <c r="S10" s="63">
        <f t="shared" si="3"/>
        <v>6.0935248828125265E-5</v>
      </c>
      <c r="U10" s="46">
        <v>7</v>
      </c>
      <c r="V10" s="68">
        <f t="shared" si="0"/>
        <v>0.11718750000000006</v>
      </c>
      <c r="W10" s="68">
        <f t="shared" si="1"/>
        <v>0</v>
      </c>
    </row>
    <row r="11" spans="1:23">
      <c r="A11" s="45" t="s">
        <v>172</v>
      </c>
      <c r="B11" s="47" t="s">
        <v>169</v>
      </c>
      <c r="C11" t="s">
        <v>173</v>
      </c>
      <c r="H11" s="61">
        <v>6</v>
      </c>
      <c r="I11" s="62">
        <f t="shared" si="3"/>
        <v>2.6725986328124992E-6</v>
      </c>
      <c r="J11" s="62">
        <f t="shared" si="3"/>
        <v>1.3778100000000004E-4</v>
      </c>
      <c r="K11" s="62">
        <f t="shared" si="3"/>
        <v>5.5050240000000059E-3</v>
      </c>
      <c r="L11" s="62">
        <f t="shared" si="3"/>
        <v>3.6756909000000004E-2</v>
      </c>
      <c r="M11" s="62">
        <f t="shared" si="3"/>
        <v>0.11147673600000005</v>
      </c>
      <c r="N11" s="62">
        <f t="shared" si="3"/>
        <v>0.20507812500000006</v>
      </c>
      <c r="O11" s="62">
        <f t="shared" si="3"/>
        <v>0.25082265599999998</v>
      </c>
      <c r="P11" s="62">
        <f t="shared" si="3"/>
        <v>0.20012094899999996</v>
      </c>
      <c r="Q11" s="62">
        <f t="shared" si="3"/>
        <v>8.8080384000000039E-2</v>
      </c>
      <c r="R11" s="62">
        <f t="shared" si="3"/>
        <v>1.1160261000000019E-2</v>
      </c>
      <c r="S11" s="63">
        <f t="shared" si="3"/>
        <v>9.6480810644531615E-4</v>
      </c>
      <c r="U11" s="46">
        <v>8</v>
      </c>
      <c r="V11" s="68">
        <f t="shared" si="0"/>
        <v>4.3945312500000007E-2</v>
      </c>
      <c r="W11" s="68">
        <f t="shared" si="1"/>
        <v>0</v>
      </c>
    </row>
    <row r="12" spans="1:23">
      <c r="D12" s="66"/>
      <c r="H12" s="61">
        <v>7</v>
      </c>
      <c r="I12" s="62">
        <f t="shared" si="3"/>
        <v>8.0378906250000025E-8</v>
      </c>
      <c r="J12" s="62">
        <f t="shared" si="3"/>
        <v>8.7480000000000253E-6</v>
      </c>
      <c r="K12" s="62">
        <f t="shared" si="3"/>
        <v>7.8643200000000021E-4</v>
      </c>
      <c r="L12" s="62">
        <f t="shared" si="3"/>
        <v>9.0016920000000038E-3</v>
      </c>
      <c r="M12" s="62">
        <f t="shared" si="3"/>
        <v>4.2467328000000019E-2</v>
      </c>
      <c r="N12" s="62">
        <f t="shared" si="3"/>
        <v>0.11718750000000006</v>
      </c>
      <c r="O12" s="62">
        <f t="shared" si="3"/>
        <v>0.21499084799999993</v>
      </c>
      <c r="P12" s="62">
        <f t="shared" si="3"/>
        <v>0.26682793199999993</v>
      </c>
      <c r="Q12" s="62">
        <f t="shared" si="3"/>
        <v>0.20132659199999997</v>
      </c>
      <c r="R12" s="62">
        <f t="shared" si="3"/>
        <v>5.7395628000000073E-2</v>
      </c>
      <c r="S12" s="63">
        <f t="shared" si="3"/>
        <v>1.0475059441406285E-2</v>
      </c>
      <c r="U12" s="46">
        <v>9</v>
      </c>
      <c r="V12" s="68">
        <f t="shared" si="0"/>
        <v>9.765625E-3</v>
      </c>
      <c r="W12" s="68">
        <f t="shared" si="1"/>
        <v>0</v>
      </c>
    </row>
    <row r="13" spans="1:23">
      <c r="A13" s="45" t="s">
        <v>174</v>
      </c>
      <c r="B13" s="52">
        <f>BINOMDIST(B10,B9,B5,IF(UPPER(B11)="Y",1,0))</f>
        <v>0.24609375</v>
      </c>
      <c r="D13" s="67" t="s">
        <v>187</v>
      </c>
      <c r="H13" s="61">
        <v>8</v>
      </c>
      <c r="I13" s="62">
        <f t="shared" si="3"/>
        <v>1.5864257812500017E-9</v>
      </c>
      <c r="J13" s="62">
        <f t="shared" si="3"/>
        <v>3.645000000000007E-7</v>
      </c>
      <c r="K13" s="62">
        <f t="shared" si="3"/>
        <v>7.372800000000005E-5</v>
      </c>
      <c r="L13" s="62">
        <f t="shared" si="3"/>
        <v>1.4467005000000008E-3</v>
      </c>
      <c r="M13" s="62">
        <f t="shared" si="3"/>
        <v>1.0616832000000005E-2</v>
      </c>
      <c r="N13" s="62">
        <f t="shared" si="3"/>
        <v>4.3945312500000007E-2</v>
      </c>
      <c r="O13" s="62">
        <f t="shared" si="3"/>
        <v>0.12093235199999998</v>
      </c>
      <c r="P13" s="62">
        <f t="shared" si="3"/>
        <v>0.23347444049999991</v>
      </c>
      <c r="Q13" s="62">
        <f t="shared" si="3"/>
        <v>0.30198988799999998</v>
      </c>
      <c r="R13" s="62">
        <f t="shared" si="3"/>
        <v>0.19371024450000013</v>
      </c>
      <c r="S13" s="63">
        <f t="shared" si="3"/>
        <v>7.4634798520019655E-2</v>
      </c>
      <c r="U13" s="46">
        <v>10</v>
      </c>
      <c r="V13" s="68">
        <f t="shared" si="0"/>
        <v>9.765625E-4</v>
      </c>
      <c r="W13" s="68">
        <f t="shared" si="1"/>
        <v>0</v>
      </c>
    </row>
    <row r="14" spans="1:23">
      <c r="A14" s="45" t="s">
        <v>175</v>
      </c>
      <c r="B14" s="52">
        <f>1-B13</f>
        <v>0.75390625</v>
      </c>
      <c r="D14" s="67" t="s">
        <v>188</v>
      </c>
      <c r="H14" s="61">
        <v>9</v>
      </c>
      <c r="I14" s="62">
        <f t="shared" si="3"/>
        <v>1.855468750000003E-11</v>
      </c>
      <c r="J14" s="62">
        <f t="shared" si="3"/>
        <v>9.0000000000000061E-9</v>
      </c>
      <c r="K14" s="62">
        <f t="shared" si="3"/>
        <v>4.0960000000000062E-6</v>
      </c>
      <c r="L14" s="62">
        <f t="shared" si="3"/>
        <v>1.3778100000000012E-4</v>
      </c>
      <c r="M14" s="62">
        <f t="shared" si="3"/>
        <v>1.5728640000000009E-3</v>
      </c>
      <c r="N14" s="62">
        <f t="shared" si="3"/>
        <v>9.765625E-3</v>
      </c>
      <c r="O14" s="62">
        <f t="shared" si="3"/>
        <v>4.0310783999999995E-2</v>
      </c>
      <c r="P14" s="62">
        <f t="shared" si="3"/>
        <v>0.12106082099999993</v>
      </c>
      <c r="Q14" s="62">
        <f t="shared" si="3"/>
        <v>0.26843545599999985</v>
      </c>
      <c r="R14" s="62">
        <f t="shared" si="3"/>
        <v>0.38742048899999987</v>
      </c>
      <c r="S14" s="63">
        <f t="shared" si="3"/>
        <v>0.31512470486230487</v>
      </c>
      <c r="U14" s="46">
        <v>11</v>
      </c>
      <c r="V14" s="68" t="e">
        <f t="shared" si="0"/>
        <v>#NUM!</v>
      </c>
      <c r="W14" s="68">
        <f t="shared" si="1"/>
        <v>0</v>
      </c>
    </row>
    <row r="15" spans="1:23">
      <c r="A15" s="45"/>
      <c r="B15" s="48"/>
      <c r="D15" s="66"/>
      <c r="H15" s="61">
        <v>10</v>
      </c>
      <c r="I15" s="62">
        <f t="shared" si="3"/>
        <v>9.7656250000000218E-14</v>
      </c>
      <c r="J15" s="62">
        <f t="shared" si="3"/>
        <v>1.0000000000000031E-10</v>
      </c>
      <c r="K15" s="62">
        <f t="shared" si="3"/>
        <v>1.0240000000000004E-7</v>
      </c>
      <c r="L15" s="62">
        <f t="shared" si="3"/>
        <v>5.9049000000000059E-6</v>
      </c>
      <c r="M15" s="62">
        <f t="shared" si="3"/>
        <v>1.0485760000000014E-4</v>
      </c>
      <c r="N15" s="62">
        <f t="shared" si="3"/>
        <v>9.765625E-4</v>
      </c>
      <c r="O15" s="62">
        <f t="shared" si="3"/>
        <v>6.0466176E-3</v>
      </c>
      <c r="P15" s="62">
        <f t="shared" si="3"/>
        <v>2.824752489999998E-2</v>
      </c>
      <c r="Q15" s="62">
        <f t="shared" si="3"/>
        <v>0.10737418239999991</v>
      </c>
      <c r="R15" s="62">
        <f t="shared" si="3"/>
        <v>0.34867844009999965</v>
      </c>
      <c r="S15" s="63">
        <f t="shared" si="3"/>
        <v>0.59873693923837867</v>
      </c>
      <c r="U15" s="46">
        <v>12</v>
      </c>
      <c r="V15" s="68" t="e">
        <f t="shared" si="0"/>
        <v>#NUM!</v>
      </c>
      <c r="W15" s="68">
        <f t="shared" si="1"/>
        <v>0</v>
      </c>
    </row>
    <row r="16" spans="1:23">
      <c r="A16" s="45" t="s">
        <v>51</v>
      </c>
      <c r="B16" s="34">
        <f>B9*B5</f>
        <v>5</v>
      </c>
      <c r="H16" s="61">
        <v>11</v>
      </c>
      <c r="I16" s="62" t="str">
        <f t="shared" si="3"/>
        <v/>
      </c>
      <c r="J16" s="62" t="str">
        <f t="shared" si="3"/>
        <v/>
      </c>
      <c r="K16" s="62" t="str">
        <f t="shared" si="3"/>
        <v/>
      </c>
      <c r="L16" s="62" t="str">
        <f t="shared" si="3"/>
        <v/>
      </c>
      <c r="M16" s="62" t="str">
        <f t="shared" si="3"/>
        <v/>
      </c>
      <c r="N16" s="62" t="str">
        <f t="shared" si="3"/>
        <v/>
      </c>
      <c r="O16" s="62" t="str">
        <f t="shared" si="3"/>
        <v/>
      </c>
      <c r="P16" s="62" t="str">
        <f t="shared" si="3"/>
        <v/>
      </c>
      <c r="Q16" s="62" t="str">
        <f t="shared" si="3"/>
        <v/>
      </c>
      <c r="R16" s="62" t="str">
        <f t="shared" si="3"/>
        <v/>
      </c>
      <c r="S16" s="63" t="str">
        <f t="shared" si="3"/>
        <v/>
      </c>
      <c r="U16" s="46">
        <v>13</v>
      </c>
      <c r="V16" s="68" t="e">
        <f t="shared" si="0"/>
        <v>#NUM!</v>
      </c>
      <c r="W16" s="68">
        <f t="shared" si="1"/>
        <v>0</v>
      </c>
    </row>
    <row r="17" spans="1:23">
      <c r="A17" s="45" t="s">
        <v>176</v>
      </c>
      <c r="B17" s="34">
        <f>B9*B5*(1-B5)</f>
        <v>2.5</v>
      </c>
      <c r="H17" s="61">
        <v>12</v>
      </c>
      <c r="I17" s="62" t="str">
        <f t="shared" si="3"/>
        <v/>
      </c>
      <c r="J17" s="62" t="str">
        <f t="shared" si="3"/>
        <v/>
      </c>
      <c r="K17" s="62" t="str">
        <f t="shared" si="3"/>
        <v/>
      </c>
      <c r="L17" s="62" t="str">
        <f t="shared" si="3"/>
        <v/>
      </c>
      <c r="M17" s="62" t="str">
        <f t="shared" si="3"/>
        <v/>
      </c>
      <c r="N17" s="62" t="str">
        <f t="shared" si="3"/>
        <v/>
      </c>
      <c r="O17" s="62" t="str">
        <f t="shared" si="3"/>
        <v/>
      </c>
      <c r="P17" s="62" t="str">
        <f t="shared" si="3"/>
        <v/>
      </c>
      <c r="Q17" s="62" t="str">
        <f t="shared" si="3"/>
        <v/>
      </c>
      <c r="R17" s="62" t="str">
        <f t="shared" si="3"/>
        <v/>
      </c>
      <c r="S17" s="63" t="str">
        <f t="shared" si="3"/>
        <v/>
      </c>
      <c r="U17" s="46">
        <v>14</v>
      </c>
      <c r="V17" s="68" t="e">
        <f t="shared" si="0"/>
        <v>#NUM!</v>
      </c>
      <c r="W17" s="68">
        <f t="shared" si="1"/>
        <v>0</v>
      </c>
    </row>
    <row r="18" spans="1:23">
      <c r="A18" s="45" t="s">
        <v>177</v>
      </c>
      <c r="B18" s="34">
        <f>SQRT(B17)</f>
        <v>1.5811388300841898</v>
      </c>
      <c r="H18" s="61">
        <v>13</v>
      </c>
      <c r="I18" s="62" t="str">
        <f t="shared" si="3"/>
        <v/>
      </c>
      <c r="J18" s="62" t="str">
        <f t="shared" si="3"/>
        <v/>
      </c>
      <c r="K18" s="62" t="str">
        <f t="shared" si="3"/>
        <v/>
      </c>
      <c r="L18" s="62" t="str">
        <f t="shared" si="3"/>
        <v/>
      </c>
      <c r="M18" s="62" t="str">
        <f t="shared" si="3"/>
        <v/>
      </c>
      <c r="N18" s="62" t="str">
        <f t="shared" si="3"/>
        <v/>
      </c>
      <c r="O18" s="62" t="str">
        <f t="shared" si="3"/>
        <v/>
      </c>
      <c r="P18" s="62" t="str">
        <f t="shared" si="3"/>
        <v/>
      </c>
      <c r="Q18" s="62" t="str">
        <f t="shared" si="3"/>
        <v/>
      </c>
      <c r="R18" s="62" t="str">
        <f t="shared" si="3"/>
        <v/>
      </c>
      <c r="S18" s="63" t="str">
        <f t="shared" si="3"/>
        <v/>
      </c>
      <c r="U18" s="46">
        <v>15</v>
      </c>
      <c r="V18" s="68" t="e">
        <f t="shared" si="0"/>
        <v>#NUM!</v>
      </c>
      <c r="W18" s="68">
        <f t="shared" si="1"/>
        <v>0</v>
      </c>
    </row>
    <row r="19" spans="1:23">
      <c r="H19" s="61">
        <v>14</v>
      </c>
      <c r="I19" s="62" t="str">
        <f t="shared" si="3"/>
        <v/>
      </c>
      <c r="J19" s="62" t="str">
        <f t="shared" si="3"/>
        <v/>
      </c>
      <c r="K19" s="62" t="str">
        <f t="shared" si="3"/>
        <v/>
      </c>
      <c r="L19" s="62" t="str">
        <f t="shared" si="3"/>
        <v/>
      </c>
      <c r="M19" s="62" t="str">
        <f t="shared" si="3"/>
        <v/>
      </c>
      <c r="N19" s="62" t="str">
        <f t="shared" si="3"/>
        <v/>
      </c>
      <c r="O19" s="62" t="str">
        <f t="shared" si="3"/>
        <v/>
      </c>
      <c r="P19" s="62" t="str">
        <f t="shared" si="3"/>
        <v/>
      </c>
      <c r="Q19" s="62" t="str">
        <f t="shared" si="3"/>
        <v/>
      </c>
      <c r="R19" s="62" t="str">
        <f t="shared" si="3"/>
        <v/>
      </c>
      <c r="S19" s="63" t="str">
        <f t="shared" si="3"/>
        <v/>
      </c>
      <c r="U19" s="46">
        <v>16</v>
      </c>
      <c r="V19" s="68" t="e">
        <f t="shared" si="0"/>
        <v>#NUM!</v>
      </c>
      <c r="W19" s="68">
        <f t="shared" si="1"/>
        <v>0</v>
      </c>
    </row>
    <row r="20" spans="1:23">
      <c r="H20" s="61">
        <v>15</v>
      </c>
      <c r="I20" s="62" t="str">
        <f t="shared" si="3"/>
        <v/>
      </c>
      <c r="J20" s="62" t="str">
        <f t="shared" si="3"/>
        <v/>
      </c>
      <c r="K20" s="62" t="str">
        <f t="shared" si="3"/>
        <v/>
      </c>
      <c r="L20" s="62" t="str">
        <f t="shared" si="3"/>
        <v/>
      </c>
      <c r="M20" s="62" t="str">
        <f t="shared" si="3"/>
        <v/>
      </c>
      <c r="N20" s="62" t="str">
        <f t="shared" si="3"/>
        <v/>
      </c>
      <c r="O20" s="62" t="str">
        <f t="shared" si="3"/>
        <v/>
      </c>
      <c r="P20" s="62" t="str">
        <f t="shared" si="3"/>
        <v/>
      </c>
      <c r="Q20" s="62" t="str">
        <f t="shared" si="3"/>
        <v/>
      </c>
      <c r="R20" s="62" t="str">
        <f t="shared" si="3"/>
        <v/>
      </c>
      <c r="S20" s="63" t="str">
        <f t="shared" si="3"/>
        <v/>
      </c>
      <c r="U20" s="46">
        <v>17</v>
      </c>
      <c r="V20" s="68" t="e">
        <f t="shared" si="0"/>
        <v>#NUM!</v>
      </c>
      <c r="W20" s="68">
        <f t="shared" si="1"/>
        <v>0</v>
      </c>
    </row>
    <row r="21" spans="1:23">
      <c r="A21" s="44" t="s">
        <v>178</v>
      </c>
      <c r="H21" s="61">
        <v>16</v>
      </c>
      <c r="I21" s="62" t="str">
        <f t="shared" si="3"/>
        <v/>
      </c>
      <c r="J21" s="62" t="str">
        <f t="shared" si="3"/>
        <v/>
      </c>
      <c r="K21" s="62" t="str">
        <f t="shared" si="3"/>
        <v/>
      </c>
      <c r="L21" s="62" t="str">
        <f t="shared" si="3"/>
        <v/>
      </c>
      <c r="M21" s="62" t="str">
        <f t="shared" si="3"/>
        <v/>
      </c>
      <c r="N21" s="62" t="str">
        <f t="shared" si="3"/>
        <v/>
      </c>
      <c r="O21" s="62" t="str">
        <f t="shared" si="3"/>
        <v/>
      </c>
      <c r="P21" s="62" t="str">
        <f t="shared" si="3"/>
        <v/>
      </c>
      <c r="Q21" s="62" t="str">
        <f t="shared" si="3"/>
        <v/>
      </c>
      <c r="R21" s="62" t="str">
        <f t="shared" si="3"/>
        <v/>
      </c>
      <c r="S21" s="63" t="str">
        <f t="shared" si="3"/>
        <v/>
      </c>
      <c r="U21" s="46">
        <v>18</v>
      </c>
      <c r="V21" s="68" t="e">
        <f t="shared" si="0"/>
        <v>#NUM!</v>
      </c>
      <c r="W21" s="68">
        <f t="shared" si="1"/>
        <v>0</v>
      </c>
    </row>
    <row r="22" spans="1:23">
      <c r="A22" s="14" t="s">
        <v>97</v>
      </c>
      <c r="H22" s="61">
        <v>17</v>
      </c>
      <c r="I22" s="62" t="str">
        <f t="shared" si="3"/>
        <v/>
      </c>
      <c r="J22" s="62" t="str">
        <f t="shared" si="3"/>
        <v/>
      </c>
      <c r="K22" s="62" t="str">
        <f t="shared" si="3"/>
        <v/>
      </c>
      <c r="L22" s="62" t="str">
        <f t="shared" si="3"/>
        <v/>
      </c>
      <c r="M22" s="62" t="str">
        <f t="shared" si="3"/>
        <v/>
      </c>
      <c r="N22" s="62" t="str">
        <f t="shared" si="3"/>
        <v/>
      </c>
      <c r="O22" s="62" t="str">
        <f t="shared" si="3"/>
        <v/>
      </c>
      <c r="P22" s="62" t="str">
        <f t="shared" si="3"/>
        <v/>
      </c>
      <c r="Q22" s="62" t="str">
        <f t="shared" si="3"/>
        <v/>
      </c>
      <c r="R22" s="62" t="str">
        <f t="shared" si="3"/>
        <v/>
      </c>
      <c r="S22" s="63" t="str">
        <f t="shared" si="3"/>
        <v/>
      </c>
      <c r="U22" s="46">
        <v>19</v>
      </c>
      <c r="V22" s="68" t="e">
        <f t="shared" si="0"/>
        <v>#NUM!</v>
      </c>
      <c r="W22" s="68">
        <f t="shared" si="1"/>
        <v>0</v>
      </c>
    </row>
    <row r="23" spans="1:23">
      <c r="A23" s="49" t="s">
        <v>179</v>
      </c>
      <c r="H23" s="61">
        <v>18</v>
      </c>
      <c r="I23" s="62" t="str">
        <f t="shared" si="3"/>
        <v/>
      </c>
      <c r="J23" s="62" t="str">
        <f t="shared" si="3"/>
        <v/>
      </c>
      <c r="K23" s="62" t="str">
        <f t="shared" si="3"/>
        <v/>
      </c>
      <c r="L23" s="62" t="str">
        <f t="shared" si="3"/>
        <v/>
      </c>
      <c r="M23" s="62" t="str">
        <f t="shared" si="3"/>
        <v/>
      </c>
      <c r="N23" s="62" t="str">
        <f t="shared" si="3"/>
        <v/>
      </c>
      <c r="O23" s="62" t="str">
        <f t="shared" si="3"/>
        <v/>
      </c>
      <c r="P23" s="62" t="str">
        <f t="shared" si="3"/>
        <v/>
      </c>
      <c r="Q23" s="62" t="str">
        <f t="shared" si="3"/>
        <v/>
      </c>
      <c r="R23" s="62" t="str">
        <f t="shared" si="3"/>
        <v/>
      </c>
      <c r="S23" s="63" t="str">
        <f t="shared" si="3"/>
        <v/>
      </c>
      <c r="U23" s="46">
        <v>20</v>
      </c>
      <c r="V23" s="68" t="e">
        <f t="shared" si="0"/>
        <v>#NUM!</v>
      </c>
      <c r="W23" s="68">
        <f t="shared" si="1"/>
        <v>0</v>
      </c>
    </row>
    <row r="24" spans="1:23">
      <c r="A24" s="53" t="s">
        <v>98</v>
      </c>
      <c r="H24" s="61">
        <v>19</v>
      </c>
      <c r="I24" s="62" t="str">
        <f t="shared" si="3"/>
        <v/>
      </c>
      <c r="J24" s="62" t="str">
        <f t="shared" si="3"/>
        <v/>
      </c>
      <c r="K24" s="62" t="str">
        <f t="shared" si="3"/>
        <v/>
      </c>
      <c r="L24" s="62" t="str">
        <f t="shared" si="3"/>
        <v/>
      </c>
      <c r="M24" s="62" t="str">
        <f t="shared" si="3"/>
        <v/>
      </c>
      <c r="N24" s="62" t="str">
        <f t="shared" si="3"/>
        <v/>
      </c>
      <c r="O24" s="62" t="str">
        <f t="shared" si="3"/>
        <v/>
      </c>
      <c r="P24" s="62" t="str">
        <f t="shared" si="3"/>
        <v/>
      </c>
      <c r="Q24" s="62" t="str">
        <f t="shared" si="3"/>
        <v/>
      </c>
      <c r="R24" s="62" t="str">
        <f t="shared" si="3"/>
        <v/>
      </c>
      <c r="S24" s="63" t="str">
        <f t="shared" si="3"/>
        <v/>
      </c>
      <c r="U24" s="46">
        <v>21</v>
      </c>
      <c r="V24" s="68" t="e">
        <f t="shared" si="0"/>
        <v>#NUM!</v>
      </c>
      <c r="W24" s="68">
        <f t="shared" si="1"/>
        <v>0</v>
      </c>
    </row>
    <row r="25" spans="1:23">
      <c r="A25" s="50" t="s">
        <v>180</v>
      </c>
      <c r="H25" s="61">
        <v>20</v>
      </c>
      <c r="I25" s="62" t="str">
        <f t="shared" si="3"/>
        <v/>
      </c>
      <c r="J25" s="62" t="str">
        <f t="shared" si="3"/>
        <v/>
      </c>
      <c r="K25" s="62" t="str">
        <f t="shared" si="3"/>
        <v/>
      </c>
      <c r="L25" s="62" t="str">
        <f t="shared" si="3"/>
        <v/>
      </c>
      <c r="M25" s="62" t="str">
        <f t="shared" si="3"/>
        <v/>
      </c>
      <c r="N25" s="62" t="str">
        <f t="shared" si="3"/>
        <v/>
      </c>
      <c r="O25" s="62" t="str">
        <f t="shared" si="3"/>
        <v/>
      </c>
      <c r="P25" s="62" t="str">
        <f t="shared" si="3"/>
        <v/>
      </c>
      <c r="Q25" s="62" t="str">
        <f t="shared" si="3"/>
        <v/>
      </c>
      <c r="R25" s="62" t="str">
        <f t="shared" si="3"/>
        <v/>
      </c>
      <c r="S25" s="63" t="str">
        <f t="shared" si="3"/>
        <v/>
      </c>
      <c r="U25" s="46">
        <v>22</v>
      </c>
      <c r="V25" s="68" t="e">
        <f t="shared" si="0"/>
        <v>#NUM!</v>
      </c>
      <c r="W25" s="68">
        <f t="shared" si="1"/>
        <v>0</v>
      </c>
    </row>
    <row r="26" spans="1:23">
      <c r="A26" s="1" t="s">
        <v>181</v>
      </c>
      <c r="H26" s="61">
        <v>21</v>
      </c>
      <c r="I26" s="62" t="str">
        <f t="shared" si="3"/>
        <v/>
      </c>
      <c r="J26" s="62" t="str">
        <f t="shared" si="3"/>
        <v/>
      </c>
      <c r="K26" s="62" t="str">
        <f t="shared" si="3"/>
        <v/>
      </c>
      <c r="L26" s="62" t="str">
        <f t="shared" si="3"/>
        <v/>
      </c>
      <c r="M26" s="62" t="str">
        <f t="shared" si="3"/>
        <v/>
      </c>
      <c r="N26" s="62" t="str">
        <f t="shared" si="3"/>
        <v/>
      </c>
      <c r="O26" s="62" t="str">
        <f t="shared" si="3"/>
        <v/>
      </c>
      <c r="P26" s="62" t="str">
        <f t="shared" si="3"/>
        <v/>
      </c>
      <c r="Q26" s="62" t="str">
        <f t="shared" si="3"/>
        <v/>
      </c>
      <c r="R26" s="62" t="str">
        <f t="shared" si="3"/>
        <v/>
      </c>
      <c r="S26" s="63" t="str">
        <f t="shared" si="3"/>
        <v/>
      </c>
      <c r="U26" s="46">
        <v>23</v>
      </c>
      <c r="V26" s="68" t="e">
        <f t="shared" si="0"/>
        <v>#NUM!</v>
      </c>
      <c r="W26" s="68">
        <f t="shared" si="1"/>
        <v>0</v>
      </c>
    </row>
    <row r="27" spans="1:23">
      <c r="A27" s="51" t="s">
        <v>182</v>
      </c>
      <c r="H27" s="61">
        <v>22</v>
      </c>
      <c r="I27" s="62" t="str">
        <f t="shared" si="3"/>
        <v/>
      </c>
      <c r="J27" s="62" t="str">
        <f t="shared" si="3"/>
        <v/>
      </c>
      <c r="K27" s="62" t="str">
        <f t="shared" si="3"/>
        <v/>
      </c>
      <c r="L27" s="62" t="str">
        <f t="shared" si="3"/>
        <v/>
      </c>
      <c r="M27" s="62" t="str">
        <f t="shared" si="3"/>
        <v/>
      </c>
      <c r="N27" s="62" t="str">
        <f t="shared" si="3"/>
        <v/>
      </c>
      <c r="O27" s="62" t="str">
        <f t="shared" si="3"/>
        <v/>
      </c>
      <c r="P27" s="62" t="str">
        <f t="shared" si="3"/>
        <v/>
      </c>
      <c r="Q27" s="62" t="str">
        <f t="shared" si="3"/>
        <v/>
      </c>
      <c r="R27" s="62" t="str">
        <f t="shared" si="3"/>
        <v/>
      </c>
      <c r="S27" s="63" t="str">
        <f t="shared" si="3"/>
        <v/>
      </c>
      <c r="U27" s="46">
        <v>24</v>
      </c>
      <c r="V27" s="68" t="e">
        <f t="shared" si="0"/>
        <v>#NUM!</v>
      </c>
      <c r="W27" s="68">
        <f t="shared" si="1"/>
        <v>0</v>
      </c>
    </row>
    <row r="28" spans="1:23">
      <c r="H28" s="61">
        <v>23</v>
      </c>
      <c r="I28" s="62" t="str">
        <f t="shared" si="3"/>
        <v/>
      </c>
      <c r="J28" s="62" t="str">
        <f t="shared" si="3"/>
        <v/>
      </c>
      <c r="K28" s="62" t="str">
        <f t="shared" si="3"/>
        <v/>
      </c>
      <c r="L28" s="62" t="str">
        <f t="shared" si="3"/>
        <v/>
      </c>
      <c r="M28" s="62" t="str">
        <f t="shared" si="3"/>
        <v/>
      </c>
      <c r="N28" s="62" t="str">
        <f t="shared" si="3"/>
        <v/>
      </c>
      <c r="O28" s="62" t="str">
        <f t="shared" si="3"/>
        <v/>
      </c>
      <c r="P28" s="62" t="str">
        <f t="shared" si="3"/>
        <v/>
      </c>
      <c r="Q28" s="62" t="str">
        <f t="shared" si="3"/>
        <v/>
      </c>
      <c r="R28" s="62" t="str">
        <f t="shared" si="3"/>
        <v/>
      </c>
      <c r="S28" s="63" t="str">
        <f t="shared" si="3"/>
        <v/>
      </c>
      <c r="U28" s="46">
        <v>25</v>
      </c>
      <c r="V28" s="68" t="e">
        <f t="shared" si="0"/>
        <v>#NUM!</v>
      </c>
      <c r="W28" s="68">
        <f t="shared" si="1"/>
        <v>0</v>
      </c>
    </row>
    <row r="29" spans="1:23">
      <c r="H29" s="61">
        <v>24</v>
      </c>
      <c r="I29" s="62" t="str">
        <f t="shared" si="3"/>
        <v/>
      </c>
      <c r="J29" s="62" t="str">
        <f t="shared" si="3"/>
        <v/>
      </c>
      <c r="K29" s="62" t="str">
        <f t="shared" ref="K29:S35" si="4">IF($H29&lt;=$I$2,BINOMDIST($H29,$I$2,K$4,IF(UPPER($B$11)="Y",1,0)),"")</f>
        <v/>
      </c>
      <c r="L29" s="62" t="str">
        <f t="shared" si="4"/>
        <v/>
      </c>
      <c r="M29" s="62" t="str">
        <f t="shared" si="4"/>
        <v/>
      </c>
      <c r="N29" s="62" t="str">
        <f t="shared" si="4"/>
        <v/>
      </c>
      <c r="O29" s="62" t="str">
        <f t="shared" si="4"/>
        <v/>
      </c>
      <c r="P29" s="62" t="str">
        <f t="shared" si="4"/>
        <v/>
      </c>
      <c r="Q29" s="62" t="str">
        <f t="shared" si="4"/>
        <v/>
      </c>
      <c r="R29" s="62" t="str">
        <f t="shared" si="4"/>
        <v/>
      </c>
      <c r="S29" s="63" t="str">
        <f t="shared" si="4"/>
        <v/>
      </c>
      <c r="U29" s="46">
        <v>26</v>
      </c>
      <c r="V29" s="68" t="e">
        <f t="shared" si="0"/>
        <v>#NUM!</v>
      </c>
      <c r="W29" s="68">
        <f t="shared" si="1"/>
        <v>0</v>
      </c>
    </row>
    <row r="30" spans="1:23">
      <c r="H30" s="61">
        <v>25</v>
      </c>
      <c r="I30" s="62" t="str">
        <f t="shared" ref="I30:J35" si="5">IF($H30&lt;=$I$2,BINOMDIST($H30,$I$2,I$4,IF(UPPER($B$11)="Y",1,0)),"")</f>
        <v/>
      </c>
      <c r="J30" s="62" t="str">
        <f t="shared" si="5"/>
        <v/>
      </c>
      <c r="K30" s="62" t="str">
        <f t="shared" si="4"/>
        <v/>
      </c>
      <c r="L30" s="62" t="str">
        <f t="shared" si="4"/>
        <v/>
      </c>
      <c r="M30" s="62" t="str">
        <f t="shared" si="4"/>
        <v/>
      </c>
      <c r="N30" s="62" t="str">
        <f t="shared" si="4"/>
        <v/>
      </c>
      <c r="O30" s="62" t="str">
        <f t="shared" si="4"/>
        <v/>
      </c>
      <c r="P30" s="62" t="str">
        <f t="shared" si="4"/>
        <v/>
      </c>
      <c r="Q30" s="62" t="str">
        <f t="shared" si="4"/>
        <v/>
      </c>
      <c r="R30" s="62" t="str">
        <f t="shared" si="4"/>
        <v/>
      </c>
      <c r="S30" s="63" t="str">
        <f t="shared" si="4"/>
        <v/>
      </c>
      <c r="U30" s="46">
        <v>27</v>
      </c>
      <c r="V30" s="68" t="e">
        <f t="shared" si="0"/>
        <v>#NUM!</v>
      </c>
      <c r="W30" s="68">
        <f t="shared" si="1"/>
        <v>0</v>
      </c>
    </row>
    <row r="31" spans="1:23">
      <c r="H31" s="61">
        <v>26</v>
      </c>
      <c r="I31" s="62" t="str">
        <f t="shared" si="5"/>
        <v/>
      </c>
      <c r="J31" s="62" t="str">
        <f t="shared" si="5"/>
        <v/>
      </c>
      <c r="K31" s="62" t="str">
        <f t="shared" si="4"/>
        <v/>
      </c>
      <c r="L31" s="62" t="str">
        <f t="shared" si="4"/>
        <v/>
      </c>
      <c r="M31" s="62" t="str">
        <f t="shared" si="4"/>
        <v/>
      </c>
      <c r="N31" s="62" t="str">
        <f t="shared" si="4"/>
        <v/>
      </c>
      <c r="O31" s="62" t="str">
        <f t="shared" si="4"/>
        <v/>
      </c>
      <c r="P31" s="62" t="str">
        <f t="shared" si="4"/>
        <v/>
      </c>
      <c r="Q31" s="62" t="str">
        <f t="shared" si="4"/>
        <v/>
      </c>
      <c r="R31" s="62" t="str">
        <f t="shared" si="4"/>
        <v/>
      </c>
      <c r="S31" s="63" t="str">
        <f t="shared" si="4"/>
        <v/>
      </c>
      <c r="U31" s="46">
        <v>28</v>
      </c>
      <c r="V31" s="68" t="e">
        <f t="shared" si="0"/>
        <v>#NUM!</v>
      </c>
      <c r="W31" s="68">
        <f t="shared" si="1"/>
        <v>0</v>
      </c>
    </row>
    <row r="32" spans="1:23">
      <c r="H32" s="61">
        <v>27</v>
      </c>
      <c r="I32" s="62" t="str">
        <f t="shared" si="5"/>
        <v/>
      </c>
      <c r="J32" s="62" t="str">
        <f t="shared" si="5"/>
        <v/>
      </c>
      <c r="K32" s="62" t="str">
        <f t="shared" si="4"/>
        <v/>
      </c>
      <c r="L32" s="62" t="str">
        <f t="shared" si="4"/>
        <v/>
      </c>
      <c r="M32" s="62" t="str">
        <f t="shared" si="4"/>
        <v/>
      </c>
      <c r="N32" s="62" t="str">
        <f t="shared" si="4"/>
        <v/>
      </c>
      <c r="O32" s="62" t="str">
        <f t="shared" si="4"/>
        <v/>
      </c>
      <c r="P32" s="62" t="str">
        <f t="shared" si="4"/>
        <v/>
      </c>
      <c r="Q32" s="62" t="str">
        <f t="shared" si="4"/>
        <v/>
      </c>
      <c r="R32" s="62" t="str">
        <f t="shared" si="4"/>
        <v/>
      </c>
      <c r="S32" s="63" t="str">
        <f t="shared" si="4"/>
        <v/>
      </c>
      <c r="U32" s="46">
        <v>29</v>
      </c>
      <c r="V32" s="68" t="e">
        <f t="shared" si="0"/>
        <v>#NUM!</v>
      </c>
      <c r="W32" s="68">
        <f t="shared" si="1"/>
        <v>0</v>
      </c>
    </row>
    <row r="33" spans="1:23">
      <c r="H33" s="61">
        <v>28</v>
      </c>
      <c r="I33" s="62" t="str">
        <f t="shared" si="5"/>
        <v/>
      </c>
      <c r="J33" s="62" t="str">
        <f t="shared" si="5"/>
        <v/>
      </c>
      <c r="K33" s="62" t="str">
        <f t="shared" si="4"/>
        <v/>
      </c>
      <c r="L33" s="62" t="str">
        <f t="shared" si="4"/>
        <v/>
      </c>
      <c r="M33" s="62" t="str">
        <f t="shared" si="4"/>
        <v/>
      </c>
      <c r="N33" s="62" t="str">
        <f t="shared" si="4"/>
        <v/>
      </c>
      <c r="O33" s="62" t="str">
        <f t="shared" si="4"/>
        <v/>
      </c>
      <c r="P33" s="62" t="str">
        <f t="shared" si="4"/>
        <v/>
      </c>
      <c r="Q33" s="62" t="str">
        <f t="shared" si="4"/>
        <v/>
      </c>
      <c r="R33" s="62" t="str">
        <f t="shared" si="4"/>
        <v/>
      </c>
      <c r="S33" s="63" t="str">
        <f t="shared" si="4"/>
        <v/>
      </c>
      <c r="U33" s="46">
        <v>30</v>
      </c>
      <c r="V33" s="68" t="e">
        <f t="shared" si="0"/>
        <v>#NUM!</v>
      </c>
      <c r="W33" s="68">
        <f t="shared" si="1"/>
        <v>0</v>
      </c>
    </row>
    <row r="34" spans="1:23">
      <c r="H34" s="61">
        <v>29</v>
      </c>
      <c r="I34" s="62" t="str">
        <f t="shared" si="5"/>
        <v/>
      </c>
      <c r="J34" s="62" t="str">
        <f t="shared" si="5"/>
        <v/>
      </c>
      <c r="K34" s="62" t="str">
        <f t="shared" si="4"/>
        <v/>
      </c>
      <c r="L34" s="62" t="str">
        <f t="shared" si="4"/>
        <v/>
      </c>
      <c r="M34" s="62" t="str">
        <f t="shared" si="4"/>
        <v/>
      </c>
      <c r="N34" s="62" t="str">
        <f t="shared" si="4"/>
        <v/>
      </c>
      <c r="O34" s="62" t="str">
        <f t="shared" si="4"/>
        <v/>
      </c>
      <c r="P34" s="62" t="str">
        <f t="shared" si="4"/>
        <v/>
      </c>
      <c r="Q34" s="62" t="str">
        <f t="shared" si="4"/>
        <v/>
      </c>
      <c r="R34" s="62" t="str">
        <f t="shared" si="4"/>
        <v/>
      </c>
      <c r="S34" s="63" t="str">
        <f t="shared" si="4"/>
        <v/>
      </c>
      <c r="U34" s="46">
        <v>31</v>
      </c>
      <c r="V34" s="68" t="e">
        <f t="shared" si="0"/>
        <v>#NUM!</v>
      </c>
      <c r="W34" s="68">
        <f t="shared" si="1"/>
        <v>0</v>
      </c>
    </row>
    <row r="35" spans="1:23">
      <c r="H35" s="58">
        <v>30</v>
      </c>
      <c r="I35" s="64" t="str">
        <f t="shared" si="5"/>
        <v/>
      </c>
      <c r="J35" s="64" t="str">
        <f t="shared" si="5"/>
        <v/>
      </c>
      <c r="K35" s="64" t="str">
        <f t="shared" si="4"/>
        <v/>
      </c>
      <c r="L35" s="64" t="str">
        <f t="shared" si="4"/>
        <v/>
      </c>
      <c r="M35" s="64" t="str">
        <f t="shared" si="4"/>
        <v/>
      </c>
      <c r="N35" s="64" t="str">
        <f t="shared" si="4"/>
        <v/>
      </c>
      <c r="O35" s="64" t="str">
        <f t="shared" si="4"/>
        <v/>
      </c>
      <c r="P35" s="64" t="str">
        <f t="shared" si="4"/>
        <v/>
      </c>
      <c r="Q35" s="64" t="str">
        <f t="shared" si="4"/>
        <v/>
      </c>
      <c r="R35" s="64" t="str">
        <f t="shared" si="4"/>
        <v/>
      </c>
      <c r="S35" s="65" t="str">
        <f t="shared" si="4"/>
        <v/>
      </c>
      <c r="U35" s="46">
        <v>32</v>
      </c>
      <c r="V35" s="68" t="e">
        <f t="shared" si="0"/>
        <v>#NUM!</v>
      </c>
      <c r="W35" s="68">
        <f t="shared" si="1"/>
        <v>0</v>
      </c>
    </row>
    <row r="36" spans="1:23">
      <c r="U36" s="46">
        <v>33</v>
      </c>
      <c r="V36" s="68" t="e">
        <f t="shared" si="0"/>
        <v>#NUM!</v>
      </c>
      <c r="W36" s="68">
        <f t="shared" si="1"/>
        <v>0</v>
      </c>
    </row>
    <row r="37" spans="1:23">
      <c r="U37" s="46">
        <v>34</v>
      </c>
      <c r="V37" s="68" t="e">
        <f t="shared" si="0"/>
        <v>#NUM!</v>
      </c>
      <c r="W37" s="68">
        <f t="shared" si="1"/>
        <v>0</v>
      </c>
    </row>
    <row r="38" spans="1:23">
      <c r="A38" t="s">
        <v>196</v>
      </c>
      <c r="U38" s="46">
        <v>35</v>
      </c>
      <c r="V38" s="68" t="e">
        <f t="shared" si="0"/>
        <v>#NUM!</v>
      </c>
      <c r="W38" s="68">
        <f t="shared" si="1"/>
        <v>0</v>
      </c>
    </row>
    <row r="39" spans="1:23">
      <c r="A39" t="s">
        <v>189</v>
      </c>
      <c r="U39" s="46">
        <v>36</v>
      </c>
      <c r="V39" s="68" t="e">
        <f t="shared" si="0"/>
        <v>#NUM!</v>
      </c>
      <c r="W39" s="68">
        <f t="shared" si="1"/>
        <v>0</v>
      </c>
    </row>
    <row r="40" spans="1:23">
      <c r="A40" t="s">
        <v>190</v>
      </c>
      <c r="U40" s="46">
        <v>37</v>
      </c>
      <c r="V40" s="68" t="e">
        <f t="shared" si="0"/>
        <v>#NUM!</v>
      </c>
      <c r="W40" s="68">
        <f t="shared" si="1"/>
        <v>0</v>
      </c>
    </row>
    <row r="41" spans="1:23">
      <c r="A41" t="s">
        <v>193</v>
      </c>
      <c r="U41" s="46">
        <v>38</v>
      </c>
      <c r="V41" s="68" t="e">
        <f t="shared" si="0"/>
        <v>#NUM!</v>
      </c>
      <c r="W41" s="68">
        <f t="shared" si="1"/>
        <v>0</v>
      </c>
    </row>
    <row r="42" spans="1:23">
      <c r="A42" t="s">
        <v>194</v>
      </c>
      <c r="U42" s="46">
        <v>39</v>
      </c>
      <c r="V42" s="68" t="e">
        <f t="shared" si="0"/>
        <v>#NUM!</v>
      </c>
      <c r="W42" s="68">
        <f t="shared" si="1"/>
        <v>0</v>
      </c>
    </row>
    <row r="43" spans="1:23">
      <c r="A43" t="s">
        <v>197</v>
      </c>
      <c r="U43" s="46">
        <v>40</v>
      </c>
      <c r="V43" s="68" t="e">
        <f t="shared" si="0"/>
        <v>#NUM!</v>
      </c>
      <c r="W43" s="68">
        <f t="shared" si="1"/>
        <v>0</v>
      </c>
    </row>
    <row r="44" spans="1:23">
      <c r="U44" s="46">
        <v>41</v>
      </c>
      <c r="V44" s="68" t="e">
        <f t="shared" si="0"/>
        <v>#NUM!</v>
      </c>
      <c r="W44" s="68">
        <f t="shared" si="1"/>
        <v>0</v>
      </c>
    </row>
    <row r="45" spans="1:23">
      <c r="U45" s="46">
        <v>42</v>
      </c>
      <c r="V45" s="68" t="e">
        <f t="shared" si="0"/>
        <v>#NUM!</v>
      </c>
      <c r="W45" s="68">
        <f t="shared" si="1"/>
        <v>0</v>
      </c>
    </row>
    <row r="46" spans="1:23">
      <c r="U46" s="46">
        <v>43</v>
      </c>
      <c r="V46" s="68" t="e">
        <f t="shared" si="0"/>
        <v>#NUM!</v>
      </c>
      <c r="W46" s="68">
        <f t="shared" si="1"/>
        <v>0</v>
      </c>
    </row>
    <row r="47" spans="1:23">
      <c r="U47" s="46">
        <v>44</v>
      </c>
      <c r="V47" s="68" t="e">
        <f t="shared" si="0"/>
        <v>#NUM!</v>
      </c>
      <c r="W47" s="68">
        <f t="shared" si="1"/>
        <v>0</v>
      </c>
    </row>
    <row r="48" spans="1:23">
      <c r="U48" s="46">
        <v>45</v>
      </c>
      <c r="V48" s="68" t="e">
        <f t="shared" si="0"/>
        <v>#NUM!</v>
      </c>
      <c r="W48" s="68">
        <f t="shared" si="1"/>
        <v>0</v>
      </c>
    </row>
    <row r="49" spans="21:23">
      <c r="U49" s="46">
        <v>46</v>
      </c>
      <c r="V49" s="68" t="e">
        <f t="shared" si="0"/>
        <v>#NUM!</v>
      </c>
      <c r="W49" s="68">
        <f t="shared" si="1"/>
        <v>0</v>
      </c>
    </row>
    <row r="50" spans="21:23">
      <c r="U50" s="46">
        <v>47</v>
      </c>
      <c r="V50" s="68" t="e">
        <f t="shared" si="0"/>
        <v>#NUM!</v>
      </c>
      <c r="W50" s="68">
        <f t="shared" si="1"/>
        <v>0</v>
      </c>
    </row>
    <row r="51" spans="21:23">
      <c r="U51" s="46">
        <v>48</v>
      </c>
      <c r="V51" s="68" t="e">
        <f t="shared" si="0"/>
        <v>#NUM!</v>
      </c>
      <c r="W51" s="68">
        <f t="shared" si="1"/>
        <v>0</v>
      </c>
    </row>
    <row r="52" spans="21:23">
      <c r="U52" s="46">
        <v>49</v>
      </c>
      <c r="V52" s="68" t="e">
        <f t="shared" si="0"/>
        <v>#NUM!</v>
      </c>
      <c r="W52" s="68">
        <f t="shared" si="1"/>
        <v>0</v>
      </c>
    </row>
    <row r="53" spans="21:23">
      <c r="U53" s="46">
        <v>50</v>
      </c>
      <c r="V53" s="68" t="e">
        <f t="shared" si="0"/>
        <v>#NUM!</v>
      </c>
      <c r="W53" s="68">
        <f t="shared" si="1"/>
        <v>0</v>
      </c>
    </row>
  </sheetData>
  <customSheetViews>
    <customSheetView guid="{9094556B-1172-42A9-AACE-3CBB4E66E327}" hiddenColumns="1">
      <selection activeCell="X2" sqref="X2"/>
      <pageMargins left="0.7" right="0.7" top="0.75" bottom="0.75" header="0.3" footer="0.3"/>
    </customSheetView>
    <customSheetView guid="{E0CEE470-0FBC-4B40-B93D-97AD4064B6C8}">
      <selection activeCell="C1" sqref="C1:C1048576"/>
      <pageMargins left="0.7" right="0.7" top="0.75" bottom="0.75" header="0.3" footer="0.3"/>
    </customSheetView>
  </customSheetViews>
  <mergeCells count="3">
    <mergeCell ref="H1:S1"/>
    <mergeCell ref="H3:S3"/>
    <mergeCell ref="U1:W1"/>
  </mergeCells>
  <conditionalFormatting sqref="H5:H35">
    <cfRule type="cellIs" dxfId="14" priority="2" operator="equal">
      <formula>$B$10</formula>
    </cfRule>
  </conditionalFormatting>
  <conditionalFormatting sqref="I4:S4">
    <cfRule type="cellIs" dxfId="13" priority="1" operator="equal">
      <formula>CEILING($B$5,0.05)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73"/>
  <sheetViews>
    <sheetView workbookViewId="0">
      <selection activeCell="H13" sqref="H13"/>
    </sheetView>
  </sheetViews>
  <sheetFormatPr defaultRowHeight="15"/>
  <cols>
    <col min="1" max="1" width="30.85546875" bestFit="1" customWidth="1"/>
    <col min="2" max="3" width="10.5703125" customWidth="1"/>
    <col min="4" max="4" width="11.140625" customWidth="1"/>
    <col min="5" max="5" width="1.7109375" customWidth="1"/>
    <col min="6" max="6" width="10.140625" customWidth="1"/>
    <col min="7" max="7" width="10.85546875" customWidth="1"/>
    <col min="8" max="8" width="13.28515625" customWidth="1"/>
    <col min="9" max="9" width="12.140625" customWidth="1"/>
    <col min="10" max="10" width="3.42578125" customWidth="1"/>
    <col min="11" max="11" width="6.140625" customWidth="1"/>
    <col min="12" max="18" width="6.85546875" bestFit="1" customWidth="1"/>
    <col min="19" max="21" width="6.5703125" bestFit="1" customWidth="1"/>
    <col min="22" max="22" width="3.42578125" customWidth="1"/>
    <col min="23" max="23" width="10.7109375" customWidth="1"/>
    <col min="24" max="24" width="4.7109375" customWidth="1"/>
  </cols>
  <sheetData>
    <row r="1" spans="1:28" ht="15.75">
      <c r="B1" s="192" t="s">
        <v>199</v>
      </c>
      <c r="C1" s="192"/>
      <c r="D1" s="192"/>
      <c r="E1" s="192"/>
      <c r="F1" s="192"/>
      <c r="G1" s="192"/>
      <c r="H1" s="192"/>
      <c r="I1" s="192"/>
      <c r="Y1" s="71" t="s">
        <v>200</v>
      </c>
    </row>
    <row r="2" spans="1:28">
      <c r="A2" s="72" t="s">
        <v>201</v>
      </c>
      <c r="B2" s="73" t="s">
        <v>270</v>
      </c>
      <c r="W2" s="69"/>
      <c r="Y2" s="179" t="s">
        <v>202</v>
      </c>
      <c r="Z2" s="179"/>
    </row>
    <row r="3" spans="1:28">
      <c r="B3" s="193" t="s">
        <v>238</v>
      </c>
      <c r="C3" s="193"/>
      <c r="D3" s="193"/>
      <c r="E3" s="193"/>
      <c r="F3" s="193"/>
      <c r="G3" s="193"/>
      <c r="H3" s="193"/>
      <c r="I3" s="193"/>
      <c r="L3" s="194" t="s">
        <v>203</v>
      </c>
      <c r="M3" s="194"/>
      <c r="N3" s="194"/>
      <c r="O3" s="194"/>
      <c r="P3" s="194"/>
      <c r="Q3" s="194"/>
      <c r="R3" s="194"/>
      <c r="S3" s="194"/>
      <c r="T3" s="194"/>
      <c r="U3" s="194"/>
      <c r="W3" s="69"/>
      <c r="Y3" s="70" t="s">
        <v>204</v>
      </c>
      <c r="Z3" s="27">
        <f ca="1">$W$11</f>
        <v>826.75</v>
      </c>
    </row>
    <row r="4" spans="1:28">
      <c r="B4" s="69" t="s">
        <v>114</v>
      </c>
      <c r="C4" s="69" t="s">
        <v>115</v>
      </c>
      <c r="D4" s="69" t="s">
        <v>116</v>
      </c>
      <c r="E4" s="69"/>
      <c r="F4" s="69" t="s">
        <v>205</v>
      </c>
      <c r="G4" s="69" t="s">
        <v>206</v>
      </c>
      <c r="H4" s="69" t="s">
        <v>207</v>
      </c>
      <c r="I4" s="69" t="s">
        <v>208</v>
      </c>
      <c r="K4" s="74" t="s">
        <v>209</v>
      </c>
      <c r="L4" s="32">
        <v>0</v>
      </c>
      <c r="M4" s="32">
        <v>0.01</v>
      </c>
      <c r="N4" s="32">
        <v>0.02</v>
      </c>
      <c r="O4" s="32">
        <v>0.03</v>
      </c>
      <c r="P4" s="32">
        <v>0.04</v>
      </c>
      <c r="Q4" s="32">
        <v>0.05</v>
      </c>
      <c r="R4" s="32">
        <v>0.06</v>
      </c>
      <c r="S4" s="32">
        <v>7.0000000000000007E-2</v>
      </c>
      <c r="T4" s="32">
        <v>0.08</v>
      </c>
      <c r="U4" s="32">
        <v>0.09</v>
      </c>
      <c r="W4" s="97" t="str">
        <f>UPPER(B2)</f>
        <v>F</v>
      </c>
      <c r="Y4" s="70" t="s">
        <v>210</v>
      </c>
      <c r="Z4" s="27">
        <f ca="1">$W$12</f>
        <v>21.87</v>
      </c>
    </row>
    <row r="5" spans="1:28">
      <c r="A5" s="75" t="s">
        <v>211</v>
      </c>
      <c r="B5" s="195" t="s">
        <v>212</v>
      </c>
      <c r="C5" s="196"/>
      <c r="D5" s="197"/>
      <c r="E5" s="69"/>
      <c r="F5" s="195" t="s">
        <v>213</v>
      </c>
      <c r="G5" s="196"/>
      <c r="H5" s="196"/>
      <c r="I5" s="197"/>
      <c r="K5" s="74">
        <v>0</v>
      </c>
      <c r="L5" s="52">
        <f t="shared" ref="L5:U20" si="0">NORMDIST($K5+L$4,0,1,1)-0.5</f>
        <v>0</v>
      </c>
      <c r="M5" s="52">
        <f t="shared" si="0"/>
        <v>3.989356314631598E-3</v>
      </c>
      <c r="N5" s="52">
        <f t="shared" si="0"/>
        <v>7.9783137169019414E-3</v>
      </c>
      <c r="O5" s="52">
        <f t="shared" si="0"/>
        <v>1.1966473414112611E-2</v>
      </c>
      <c r="P5" s="52">
        <f t="shared" si="0"/>
        <v>1.5953436852830793E-2</v>
      </c>
      <c r="Q5" s="52">
        <f t="shared" si="0"/>
        <v>1.9938805838372486E-2</v>
      </c>
      <c r="R5" s="52">
        <f t="shared" si="0"/>
        <v>2.3922182654106838E-2</v>
      </c>
      <c r="S5" s="52">
        <f t="shared" si="0"/>
        <v>2.7903170180521131E-2</v>
      </c>
      <c r="T5" s="52">
        <f t="shared" si="0"/>
        <v>3.188137201398733E-2</v>
      </c>
      <c r="U5" s="52">
        <f t="shared" si="0"/>
        <v>3.5856392585172148E-2</v>
      </c>
      <c r="W5" s="69" t="s">
        <v>214</v>
      </c>
      <c r="Y5" s="70" t="s">
        <v>215</v>
      </c>
      <c r="Z5" s="27">
        <f ca="1">$W$7</f>
        <v>814.37610999787705</v>
      </c>
    </row>
    <row r="6" spans="1:28">
      <c r="A6" s="76" t="s">
        <v>216</v>
      </c>
      <c r="B6" s="77" t="s">
        <v>185</v>
      </c>
      <c r="C6" s="8" t="s">
        <v>217</v>
      </c>
      <c r="D6" s="8" t="s">
        <v>218</v>
      </c>
      <c r="E6" s="78"/>
      <c r="F6" s="8" t="s">
        <v>185</v>
      </c>
      <c r="G6" s="8" t="s">
        <v>217</v>
      </c>
      <c r="H6" s="8" t="s">
        <v>218</v>
      </c>
      <c r="I6" s="8" t="s">
        <v>219</v>
      </c>
      <c r="K6" s="74">
        <v>0.1</v>
      </c>
      <c r="L6" s="52">
        <f t="shared" si="0"/>
        <v>3.9827837277028988E-2</v>
      </c>
      <c r="M6" s="52">
        <f t="shared" si="0"/>
        <v>4.3795312542316833E-2</v>
      </c>
      <c r="N6" s="52">
        <f t="shared" si="0"/>
        <v>4.7758426020583888E-2</v>
      </c>
      <c r="O6" s="52">
        <f t="shared" si="0"/>
        <v>5.1716786654561142E-2</v>
      </c>
      <c r="P6" s="52">
        <f t="shared" si="0"/>
        <v>5.5670004805906448E-2</v>
      </c>
      <c r="Q6" s="52">
        <f t="shared" si="0"/>
        <v>5.9617692370242503E-2</v>
      </c>
      <c r="R6" s="52">
        <f t="shared" si="0"/>
        <v>6.3559462891432883E-2</v>
      </c>
      <c r="S6" s="52">
        <f t="shared" si="0"/>
        <v>6.7494931675038394E-2</v>
      </c>
      <c r="T6" s="52">
        <f t="shared" si="0"/>
        <v>7.1423715900900686E-2</v>
      </c>
      <c r="U6" s="52">
        <f t="shared" si="0"/>
        <v>7.5345434734795491E-2</v>
      </c>
      <c r="W6" s="69" t="s">
        <v>220</v>
      </c>
      <c r="Y6" s="70" t="s">
        <v>221</v>
      </c>
      <c r="Z6" s="27">
        <f ca="1">$W$8</f>
        <v>839.12389000212295</v>
      </c>
    </row>
    <row r="7" spans="1:28">
      <c r="A7" s="79" t="s">
        <v>222</v>
      </c>
      <c r="B7" s="80">
        <v>-1</v>
      </c>
      <c r="C7" s="81">
        <f>C11-C9</f>
        <v>31.02</v>
      </c>
      <c r="D7" s="81">
        <f>D11-D9</f>
        <v>83.882872104483752</v>
      </c>
      <c r="E7" s="66"/>
      <c r="F7" s="82">
        <v>-1</v>
      </c>
      <c r="G7" s="81">
        <f>G11-G9</f>
        <v>-0.1</v>
      </c>
      <c r="H7" s="81">
        <f>H11-H9</f>
        <v>814.37610999787705</v>
      </c>
      <c r="I7" s="83">
        <f>I11-I9</f>
        <v>-100</v>
      </c>
      <c r="K7" s="74">
        <v>0.2</v>
      </c>
      <c r="L7" s="52">
        <f t="shared" si="0"/>
        <v>7.9259709439102988E-2</v>
      </c>
      <c r="M7" s="52">
        <f t="shared" si="0"/>
        <v>8.3166163482442323E-2</v>
      </c>
      <c r="N7" s="52">
        <f t="shared" si="0"/>
        <v>8.7064422648214679E-2</v>
      </c>
      <c r="O7" s="52">
        <f t="shared" si="0"/>
        <v>9.0954115142005909E-2</v>
      </c>
      <c r="P7" s="52">
        <f t="shared" si="0"/>
        <v>9.4834871697795808E-2</v>
      </c>
      <c r="Q7" s="52">
        <f t="shared" si="0"/>
        <v>9.8706325682923701E-2</v>
      </c>
      <c r="R7" s="52">
        <f t="shared" si="0"/>
        <v>0.10256811320176051</v>
      </c>
      <c r="S7" s="52">
        <f t="shared" si="0"/>
        <v>0.10641987319803947</v>
      </c>
      <c r="T7" s="52">
        <f t="shared" si="0"/>
        <v>0.11026124755579725</v>
      </c>
      <c r="U7" s="52">
        <f t="shared" si="0"/>
        <v>0.11409188119887737</v>
      </c>
      <c r="W7" s="98">
        <f ca="1">INDIRECT(CHAR(MATCH($B$2,$B$4:$I$4)+65)&amp;ROW())</f>
        <v>814.37610999787705</v>
      </c>
      <c r="Y7" s="70" t="s">
        <v>223</v>
      </c>
      <c r="Z7" s="27">
        <f ca="1">$W$15</f>
        <v>-1.959963984540054</v>
      </c>
    </row>
    <row r="8" spans="1:28">
      <c r="A8" s="79" t="s">
        <v>224</v>
      </c>
      <c r="B8" s="80">
        <v>1</v>
      </c>
      <c r="C8" s="81">
        <f>C11+C9</f>
        <v>31.38</v>
      </c>
      <c r="D8" s="81">
        <f>D11+D9</f>
        <v>89.917127895516259</v>
      </c>
      <c r="E8" s="66"/>
      <c r="F8" s="82">
        <v>1</v>
      </c>
      <c r="G8" s="81">
        <f>G11+G9</f>
        <v>0.1</v>
      </c>
      <c r="H8" s="81">
        <f>H11+H9</f>
        <v>839.12389000212295</v>
      </c>
      <c r="I8" s="83">
        <f>I11+I9</f>
        <v>100</v>
      </c>
      <c r="K8" s="74">
        <v>0.3</v>
      </c>
      <c r="L8" s="52">
        <f t="shared" si="0"/>
        <v>0.11791142218895256</v>
      </c>
      <c r="M8" s="52">
        <f t="shared" si="0"/>
        <v>0.12171952182201928</v>
      </c>
      <c r="N8" s="52">
        <f t="shared" si="0"/>
        <v>0.12551583472332006</v>
      </c>
      <c r="O8" s="52">
        <f t="shared" si="0"/>
        <v>0.12930001894065346</v>
      </c>
      <c r="P8" s="52">
        <f t="shared" si="0"/>
        <v>0.13307173603602807</v>
      </c>
      <c r="Q8" s="52">
        <f t="shared" si="0"/>
        <v>0.13683065117561899</v>
      </c>
      <c r="R8" s="52">
        <f t="shared" si="0"/>
        <v>0.14057643321799118</v>
      </c>
      <c r="S8" s="52">
        <f t="shared" si="0"/>
        <v>0.14430875480054683</v>
      </c>
      <c r="T8" s="52">
        <f t="shared" si="0"/>
        <v>0.14802729242416279</v>
      </c>
      <c r="U8" s="52">
        <f t="shared" si="0"/>
        <v>0.15173172653598244</v>
      </c>
      <c r="W8" s="98">
        <f t="shared" ref="W8:W16" ca="1" si="1">INDIRECT(CHAR(MATCH($B$2,$B$4:$I$4)+65)&amp;ROW())</f>
        <v>839.12389000212295</v>
      </c>
      <c r="Y8" s="70" t="s">
        <v>225</v>
      </c>
      <c r="Z8" s="27">
        <f ca="1">$W$16</f>
        <v>1.959963984540054</v>
      </c>
    </row>
    <row r="9" spans="1:28">
      <c r="A9" s="8" t="s">
        <v>226</v>
      </c>
      <c r="B9" s="77" t="s">
        <v>227</v>
      </c>
      <c r="C9" s="84">
        <v>0.18</v>
      </c>
      <c r="D9" s="17">
        <f>NORMINV(1-(1-D13)/2,0,1)*D12</f>
        <v>3.0171278955162486</v>
      </c>
      <c r="E9" s="66"/>
      <c r="F9" s="85" t="s">
        <v>227</v>
      </c>
      <c r="G9" s="84">
        <v>0.1</v>
      </c>
      <c r="H9" s="17">
        <f>((NORMINV(1-(1-H13)/2,0,1)*H12)/SQRT(H10))</f>
        <v>12.373890002122939</v>
      </c>
      <c r="I9" s="86">
        <v>100</v>
      </c>
      <c r="K9" s="74">
        <v>0.4</v>
      </c>
      <c r="L9" s="52">
        <f t="shared" si="0"/>
        <v>0.15542174161032418</v>
      </c>
      <c r="M9" s="52">
        <f t="shared" si="0"/>
        <v>0.15909702622767741</v>
      </c>
      <c r="N9" s="52">
        <f t="shared" si="0"/>
        <v>0.16275727315175048</v>
      </c>
      <c r="O9" s="52">
        <f t="shared" si="0"/>
        <v>0.16640217940454227</v>
      </c>
      <c r="P9" s="52">
        <f t="shared" si="0"/>
        <v>0.17003144633940637</v>
      </c>
      <c r="Q9" s="52">
        <f t="shared" si="0"/>
        <v>0.17364477971207992</v>
      </c>
      <c r="R9" s="52">
        <f t="shared" si="0"/>
        <v>0.17724188974965216</v>
      </c>
      <c r="S9" s="52">
        <f t="shared" si="0"/>
        <v>0.1808224912174442</v>
      </c>
      <c r="T9" s="52">
        <f t="shared" si="0"/>
        <v>0.18438630348377738</v>
      </c>
      <c r="U9" s="52">
        <f t="shared" si="0"/>
        <v>0.18793305058260945</v>
      </c>
      <c r="W9" s="98">
        <f t="shared" ca="1" si="1"/>
        <v>12.373890002122939</v>
      </c>
      <c r="Y9" s="70" t="s">
        <v>169</v>
      </c>
      <c r="Z9">
        <f ca="1">IF(ISNUMBER($W$10),$W$10, 1)</f>
        <v>12</v>
      </c>
    </row>
    <row r="10" spans="1:28">
      <c r="A10" s="8" t="s">
        <v>228</v>
      </c>
      <c r="B10" s="77" t="s">
        <v>227</v>
      </c>
      <c r="C10" s="8" t="s">
        <v>227</v>
      </c>
      <c r="D10" s="8" t="s">
        <v>227</v>
      </c>
      <c r="E10" s="66"/>
      <c r="F10" s="87">
        <v>12</v>
      </c>
      <c r="G10" s="87">
        <v>16</v>
      </c>
      <c r="H10" s="87">
        <v>12</v>
      </c>
      <c r="I10" s="15">
        <f>ROUNDUP((NORMINV(I13/I14+0.5,0,1)*I12/I9)^2,0)</f>
        <v>385</v>
      </c>
      <c r="K10" s="88">
        <v>0.5</v>
      </c>
      <c r="L10" s="52">
        <f t="shared" si="0"/>
        <v>0.19146246127401312</v>
      </c>
      <c r="M10" s="52">
        <f t="shared" si="0"/>
        <v>0.1949742691024805</v>
      </c>
      <c r="N10" s="52">
        <f t="shared" si="0"/>
        <v>0.19846821245303381</v>
      </c>
      <c r="O10" s="52">
        <f t="shared" si="0"/>
        <v>0.20194403460512356</v>
      </c>
      <c r="P10" s="52">
        <f t="shared" si="0"/>
        <v>0.2054014837843019</v>
      </c>
      <c r="Q10" s="52">
        <f t="shared" si="0"/>
        <v>0.20884031321165364</v>
      </c>
      <c r="R10" s="52">
        <f t="shared" si="0"/>
        <v>0.21226028115097295</v>
      </c>
      <c r="S10" s="52">
        <f t="shared" si="0"/>
        <v>0.21566115095367588</v>
      </c>
      <c r="T10" s="52">
        <f t="shared" si="0"/>
        <v>0.21904269110143559</v>
      </c>
      <c r="U10" s="52">
        <f t="shared" si="0"/>
        <v>0.22240467524653507</v>
      </c>
      <c r="W10" s="98">
        <f t="shared" ca="1" si="1"/>
        <v>12</v>
      </c>
    </row>
    <row r="11" spans="1:28">
      <c r="A11" s="8" t="s">
        <v>229</v>
      </c>
      <c r="B11" s="80">
        <v>0</v>
      </c>
      <c r="C11" s="80">
        <v>31.2</v>
      </c>
      <c r="D11" s="80">
        <v>86.9</v>
      </c>
      <c r="E11" s="66"/>
      <c r="F11" s="82">
        <v>27.61</v>
      </c>
      <c r="G11" s="82">
        <v>0</v>
      </c>
      <c r="H11" s="82">
        <v>826.75</v>
      </c>
      <c r="I11" s="49">
        <v>0</v>
      </c>
      <c r="K11" s="88">
        <v>0.6</v>
      </c>
      <c r="L11" s="52">
        <f t="shared" si="0"/>
        <v>0.22574688224992634</v>
      </c>
      <c r="M11" s="52">
        <f t="shared" si="0"/>
        <v>0.22906909621699434</v>
      </c>
      <c r="N11" s="52">
        <f t="shared" si="0"/>
        <v>0.232371106531017</v>
      </c>
      <c r="O11" s="52">
        <f t="shared" si="0"/>
        <v>0.23565270788432247</v>
      </c>
      <c r="P11" s="52">
        <f t="shared" si="0"/>
        <v>0.23891370030713843</v>
      </c>
      <c r="Q11" s="52">
        <f t="shared" si="0"/>
        <v>0.24215388919413527</v>
      </c>
      <c r="R11" s="52">
        <f t="shared" si="0"/>
        <v>0.24537308532866386</v>
      </c>
      <c r="S11" s="52">
        <f t="shared" si="0"/>
        <v>0.24857110490468992</v>
      </c>
      <c r="T11" s="52">
        <f t="shared" si="0"/>
        <v>0.25174776954642941</v>
      </c>
      <c r="U11" s="52">
        <f t="shared" si="0"/>
        <v>0.25490290632569057</v>
      </c>
      <c r="W11" s="98">
        <f t="shared" ca="1" si="1"/>
        <v>826.75</v>
      </c>
    </row>
    <row r="12" spans="1:28" ht="14.25" customHeight="1">
      <c r="A12" s="8" t="s">
        <v>239</v>
      </c>
      <c r="B12" s="80">
        <v>1</v>
      </c>
      <c r="C12" s="80">
        <v>0.4</v>
      </c>
      <c r="D12" s="80">
        <v>7.08</v>
      </c>
      <c r="E12" s="66"/>
      <c r="F12" s="82">
        <v>3</v>
      </c>
      <c r="G12" s="82">
        <v>0.9</v>
      </c>
      <c r="H12" s="82">
        <v>21.87</v>
      </c>
      <c r="I12" s="86">
        <v>1000</v>
      </c>
      <c r="K12" s="88">
        <v>0.7</v>
      </c>
      <c r="L12" s="52">
        <f t="shared" si="0"/>
        <v>0.25803634777692697</v>
      </c>
      <c r="M12" s="52">
        <f t="shared" si="0"/>
        <v>0.26114793191001329</v>
      </c>
      <c r="N12" s="52">
        <f t="shared" si="0"/>
        <v>0.26423750222074882</v>
      </c>
      <c r="O12" s="52">
        <f t="shared" si="0"/>
        <v>0.26730490769910253</v>
      </c>
      <c r="P12" s="52">
        <f t="shared" si="0"/>
        <v>0.27035000283520938</v>
      </c>
      <c r="Q12" s="52">
        <f t="shared" si="0"/>
        <v>0.27337264762313174</v>
      </c>
      <c r="R12" s="52">
        <f t="shared" si="0"/>
        <v>0.27637270756240051</v>
      </c>
      <c r="S12" s="52">
        <f t="shared" si="0"/>
        <v>0.27935005365735033</v>
      </c>
      <c r="T12" s="52">
        <f t="shared" si="0"/>
        <v>0.28230456241426682</v>
      </c>
      <c r="U12" s="52">
        <f t="shared" si="0"/>
        <v>0.28523611583636288</v>
      </c>
      <c r="W12" s="98">
        <f t="shared" ca="1" si="1"/>
        <v>21.87</v>
      </c>
      <c r="Y12" s="89" t="s">
        <v>230</v>
      </c>
      <c r="Z12" s="89" t="s">
        <v>220</v>
      </c>
      <c r="AA12" s="89" t="s">
        <v>231</v>
      </c>
      <c r="AB12" s="89" t="s">
        <v>232</v>
      </c>
    </row>
    <row r="13" spans="1:28">
      <c r="A13" s="8" t="s">
        <v>233</v>
      </c>
      <c r="B13" s="95">
        <f>NORMDIST(B$8,B$11,B$12,1)-NORMDIST(B$7,B$11,B$12,1)</f>
        <v>0.68268949213708585</v>
      </c>
      <c r="C13" s="96">
        <f>NORMDIST(C$8,C$11,C$12,1)-NORMDIST(C$7,C$11,C$12,1)</f>
        <v>0.3472895594241594</v>
      </c>
      <c r="D13" s="90">
        <v>0.33</v>
      </c>
      <c r="E13" s="91"/>
      <c r="F13" s="96">
        <f>NORMDIST(F$8,F$11,F$12/SQRT(F$10),1)-NORMDIST(F$7,F$11,F$12/SQRT(F$10),1)</f>
        <v>1.2568281441777602E-207</v>
      </c>
      <c r="G13" s="96">
        <f>NORMDIST(G$8,G$11,G$12/SQRT(G$10),1)-NORMDIST(G$7,G$11,G$12/SQRT(G$10),1)</f>
        <v>0.3432787134362294</v>
      </c>
      <c r="H13" s="90">
        <v>0.95</v>
      </c>
      <c r="I13" s="90">
        <v>0.95</v>
      </c>
      <c r="K13" s="88">
        <v>0.8</v>
      </c>
      <c r="L13" s="52">
        <f t="shared" si="0"/>
        <v>0.28814460141660325</v>
      </c>
      <c r="M13" s="52">
        <f t="shared" si="0"/>
        <v>0.29102991212839835</v>
      </c>
      <c r="N13" s="52">
        <f t="shared" si="0"/>
        <v>0.29389194641418692</v>
      </c>
      <c r="O13" s="52">
        <f t="shared" si="0"/>
        <v>0.29673060817193153</v>
      </c>
      <c r="P13" s="52">
        <f t="shared" si="0"/>
        <v>0.29954580673955034</v>
      </c>
      <c r="Q13" s="52">
        <f t="shared" si="0"/>
        <v>0.30233745687730773</v>
      </c>
      <c r="R13" s="52">
        <f t="shared" si="0"/>
        <v>0.30510547874819161</v>
      </c>
      <c r="S13" s="52">
        <f t="shared" si="0"/>
        <v>0.30784979789630396</v>
      </c>
      <c r="T13" s="52">
        <f t="shared" si="0"/>
        <v>0.31057034522328786</v>
      </c>
      <c r="U13" s="52">
        <f t="shared" si="0"/>
        <v>0.31326705696282731</v>
      </c>
      <c r="W13" s="98">
        <f t="shared" ca="1" si="1"/>
        <v>0.95</v>
      </c>
      <c r="Y13">
        <v>-3</v>
      </c>
      <c r="Z13">
        <f ca="1">Z$3+(Y13*Z$4)/SQRT(Z$9)</f>
        <v>807.81002441923431</v>
      </c>
      <c r="AA13">
        <f>NORMDIST(Y13,0,1,0)</f>
        <v>4.4318484119380067E-3</v>
      </c>
      <c r="AB13" t="str">
        <f ca="1">IF(AND(Y13&gt;=Z$7,Y13&lt;= Z$8), NORMDIST(Y13,0,1,0),"")</f>
        <v/>
      </c>
    </row>
    <row r="14" spans="1:28">
      <c r="A14" s="8" t="s">
        <v>234</v>
      </c>
      <c r="B14" s="92" t="s">
        <v>227</v>
      </c>
      <c r="C14" s="8">
        <v>2</v>
      </c>
      <c r="D14" s="8">
        <v>2</v>
      </c>
      <c r="E14" s="66"/>
      <c r="F14" s="8" t="s">
        <v>227</v>
      </c>
      <c r="G14" s="8">
        <v>2</v>
      </c>
      <c r="H14" s="8">
        <v>2</v>
      </c>
      <c r="I14" s="47">
        <v>2</v>
      </c>
      <c r="K14" s="88">
        <v>0.9</v>
      </c>
      <c r="L14" s="52">
        <f t="shared" si="0"/>
        <v>0.31593987465324047</v>
      </c>
      <c r="M14" s="52">
        <f t="shared" si="0"/>
        <v>0.31858874510820279</v>
      </c>
      <c r="N14" s="52">
        <f t="shared" si="0"/>
        <v>0.32121362038562817</v>
      </c>
      <c r="O14" s="52">
        <f t="shared" si="0"/>
        <v>0.32381445775474205</v>
      </c>
      <c r="P14" s="52">
        <f t="shared" si="0"/>
        <v>0.32639121966137541</v>
      </c>
      <c r="Q14" s="52">
        <f t="shared" si="0"/>
        <v>0.32894387369151823</v>
      </c>
      <c r="R14" s="52">
        <f t="shared" si="0"/>
        <v>0.33147239253316219</v>
      </c>
      <c r="S14" s="52">
        <f t="shared" si="0"/>
        <v>0.33397675393647042</v>
      </c>
      <c r="T14" s="52">
        <f t="shared" si="0"/>
        <v>0.33645694067230747</v>
      </c>
      <c r="U14" s="52">
        <f t="shared" si="0"/>
        <v>0.33891294048916909</v>
      </c>
      <c r="W14" s="98">
        <f t="shared" ca="1" si="1"/>
        <v>2</v>
      </c>
      <c r="Y14">
        <v>-2.9</v>
      </c>
      <c r="Z14">
        <f t="shared" ref="Z14:Z73" ca="1" si="2">Z$3+(Y14*Z$4)/SQRT(Z$9)</f>
        <v>808.44135693859323</v>
      </c>
      <c r="AA14">
        <f t="shared" ref="AA14:AA73" si="3">NORMDIST(Y14,0,1,0)</f>
        <v>5.9525324197758529E-3</v>
      </c>
      <c r="AB14" t="str">
        <f t="shared" ref="AB14:AB73" ca="1" si="4">IF(AND(Y14&gt;=Z$7,Y14&lt;= Z$8), NORMDIST(Y14,0,1,0),"")</f>
        <v/>
      </c>
    </row>
    <row r="15" spans="1:28">
      <c r="A15" s="77" t="s">
        <v>235</v>
      </c>
      <c r="B15" s="93">
        <f>(B7-B$11)/B$12</f>
        <v>-1</v>
      </c>
      <c r="C15" s="93">
        <f>(C7-C$11)/C$12</f>
        <v>-0.44999999999999929</v>
      </c>
      <c r="D15" s="93">
        <f>-NORMINV(1-(1-D$13)/2,0,1)</f>
        <v>-0.42614800784127804</v>
      </c>
      <c r="E15" s="66"/>
      <c r="F15" s="93">
        <f>(F7-F$11)/(F$12/SQRT(F$10))</f>
        <v>-33.035982403030381</v>
      </c>
      <c r="G15" s="93">
        <f>-G9/(G$12/SQRT(G$10))</f>
        <v>-0.44444444444444448</v>
      </c>
      <c r="H15" s="93">
        <f>-NORMINV(1-(1-H$13)/2,0,1)</f>
        <v>-1.959963984540054</v>
      </c>
      <c r="I15" s="93">
        <f>-NORMINV(1-(1-I$13)/2,0,1)</f>
        <v>-1.959963984540054</v>
      </c>
      <c r="K15" s="88">
        <v>1</v>
      </c>
      <c r="L15" s="52">
        <f t="shared" si="0"/>
        <v>0.34134474606854293</v>
      </c>
      <c r="M15" s="52">
        <f t="shared" si="0"/>
        <v>0.34375235497874534</v>
      </c>
      <c r="N15" s="52">
        <f t="shared" si="0"/>
        <v>0.34613576962726511</v>
      </c>
      <c r="O15" s="52">
        <f t="shared" si="0"/>
        <v>0.34849499721165622</v>
      </c>
      <c r="P15" s="52">
        <f t="shared" si="0"/>
        <v>0.35083004966901865</v>
      </c>
      <c r="Q15" s="52">
        <f t="shared" si="0"/>
        <v>0.3531409436241042</v>
      </c>
      <c r="R15" s="52">
        <f t="shared" si="0"/>
        <v>0.35542770033609039</v>
      </c>
      <c r="S15" s="52">
        <f t="shared" si="0"/>
        <v>0.35769034564406066</v>
      </c>
      <c r="T15" s="52">
        <f t="shared" si="0"/>
        <v>0.35992890991123083</v>
      </c>
      <c r="U15" s="52">
        <f t="shared" si="0"/>
        <v>0.3621434279679645</v>
      </c>
      <c r="W15" s="98">
        <f t="shared" ca="1" si="1"/>
        <v>-1.959963984540054</v>
      </c>
      <c r="Y15">
        <v>-2.8</v>
      </c>
      <c r="Z15">
        <f t="shared" ca="1" si="2"/>
        <v>809.07268945795204</v>
      </c>
      <c r="AA15">
        <f t="shared" si="3"/>
        <v>7.9154515829799668E-3</v>
      </c>
      <c r="AB15" t="str">
        <f t="shared" ca="1" si="4"/>
        <v/>
      </c>
    </row>
    <row r="16" spans="1:28">
      <c r="A16" s="77" t="s">
        <v>236</v>
      </c>
      <c r="B16" s="93">
        <f>(B8-B$11)/B$12</f>
        <v>1</v>
      </c>
      <c r="C16" s="93">
        <f>(C8-C$11)/C$12</f>
        <v>0.44999999999999929</v>
      </c>
      <c r="D16" s="93">
        <f>NORMINV(1-(1-D$13)/2,0,1)</f>
        <v>0.42614800784127804</v>
      </c>
      <c r="E16" s="66"/>
      <c r="F16" s="93">
        <f>(F8-F$11)/F$12*SQRT(F$10)</f>
        <v>-30.72658132627188</v>
      </c>
      <c r="G16" s="93">
        <f>G9/G$12*SQRT(G$10)</f>
        <v>0.44444444444444448</v>
      </c>
      <c r="H16" s="93">
        <f>NORMINV(1-(1-H$13)/2,0,1)</f>
        <v>1.959963984540054</v>
      </c>
      <c r="I16" s="93">
        <f>NORMINV(1-(1-I$13)/2,0,1)</f>
        <v>1.959963984540054</v>
      </c>
      <c r="K16" s="88">
        <v>1.1000000000000001</v>
      </c>
      <c r="L16" s="52">
        <f t="shared" si="0"/>
        <v>0.36433393905361733</v>
      </c>
      <c r="M16" s="52">
        <f t="shared" si="0"/>
        <v>0.36650048675725277</v>
      </c>
      <c r="N16" s="52">
        <f t="shared" si="0"/>
        <v>0.36864311895726942</v>
      </c>
      <c r="O16" s="52">
        <f t="shared" si="0"/>
        <v>0.37076188775998231</v>
      </c>
      <c r="P16" s="52">
        <f t="shared" si="0"/>
        <v>0.37285684943720176</v>
      </c>
      <c r="Q16" s="52">
        <f t="shared" si="0"/>
        <v>0.37492806436284976</v>
      </c>
      <c r="R16" s="52">
        <f t="shared" si="0"/>
        <v>0.37697559694865657</v>
      </c>
      <c r="S16" s="52">
        <f t="shared" si="0"/>
        <v>0.3789995155789817</v>
      </c>
      <c r="T16" s="52">
        <f t="shared" si="0"/>
        <v>0.38099989254479927</v>
      </c>
      <c r="U16" s="52">
        <f t="shared" si="0"/>
        <v>0.38297680397689127</v>
      </c>
      <c r="W16" s="98">
        <f t="shared" ca="1" si="1"/>
        <v>1.959963984540054</v>
      </c>
      <c r="Y16">
        <v>-2.7</v>
      </c>
      <c r="Z16">
        <f t="shared" ca="1" si="2"/>
        <v>809.70402197731084</v>
      </c>
      <c r="AA16">
        <f t="shared" si="3"/>
        <v>1.042093481442259E-2</v>
      </c>
      <c r="AB16" t="str">
        <f t="shared" ca="1" si="4"/>
        <v/>
      </c>
    </row>
    <row r="17" spans="1:28">
      <c r="A17" s="94" t="s">
        <v>237</v>
      </c>
      <c r="B17" s="70"/>
      <c r="C17" s="70"/>
      <c r="D17" s="70"/>
      <c r="F17" s="70"/>
      <c r="G17" s="70"/>
      <c r="H17" s="70"/>
      <c r="I17" s="70"/>
      <c r="K17" s="88">
        <v>1.2</v>
      </c>
      <c r="L17" s="52">
        <f t="shared" si="0"/>
        <v>0.38493032977829178</v>
      </c>
      <c r="M17" s="52">
        <f t="shared" si="0"/>
        <v>0.38686055355602278</v>
      </c>
      <c r="N17" s="52">
        <f t="shared" si="0"/>
        <v>0.38876756255216516</v>
      </c>
      <c r="O17" s="52">
        <f t="shared" si="0"/>
        <v>0.39065144757430814</v>
      </c>
      <c r="P17" s="52">
        <f t="shared" si="0"/>
        <v>0.39251230292541317</v>
      </c>
      <c r="Q17" s="52">
        <f t="shared" si="0"/>
        <v>0.39435022633314465</v>
      </c>
      <c r="R17" s="52">
        <f t="shared" si="0"/>
        <v>0.39616531887869955</v>
      </c>
      <c r="S17" s="52">
        <f t="shared" si="0"/>
        <v>0.39795768492518091</v>
      </c>
      <c r="T17" s="52">
        <f t="shared" si="0"/>
        <v>0.39972743204555794</v>
      </c>
      <c r="U17" s="52">
        <f t="shared" si="0"/>
        <v>0.40147467095025213</v>
      </c>
      <c r="Y17">
        <v>-2.6</v>
      </c>
      <c r="Z17">
        <f t="shared" ca="1" si="2"/>
        <v>810.33535449666977</v>
      </c>
      <c r="AA17">
        <f t="shared" si="3"/>
        <v>1.3582969233685611E-2</v>
      </c>
      <c r="AB17" t="str">
        <f t="shared" ca="1" si="4"/>
        <v/>
      </c>
    </row>
    <row r="18" spans="1:28">
      <c r="A18" s="69" t="s">
        <v>178</v>
      </c>
      <c r="B18" s="78"/>
      <c r="D18" s="70"/>
      <c r="K18" s="88">
        <v>1.3</v>
      </c>
      <c r="L18" s="52">
        <f t="shared" si="0"/>
        <v>0.4031995154143897</v>
      </c>
      <c r="M18" s="52">
        <f t="shared" si="0"/>
        <v>0.40490208220476098</v>
      </c>
      <c r="N18" s="52">
        <f t="shared" si="0"/>
        <v>0.4065824910065281</v>
      </c>
      <c r="O18" s="52">
        <f t="shared" si="0"/>
        <v>0.40824086434971918</v>
      </c>
      <c r="P18" s="52">
        <f t="shared" si="0"/>
        <v>0.40987732753554751</v>
      </c>
      <c r="Q18" s="52">
        <f t="shared" si="0"/>
        <v>0.41149200856259804</v>
      </c>
      <c r="R18" s="52">
        <f t="shared" si="0"/>
        <v>0.41308503805291497</v>
      </c>
      <c r="S18" s="52">
        <f t="shared" si="0"/>
        <v>0.41465654917803296</v>
      </c>
      <c r="T18" s="52">
        <f t="shared" si="0"/>
        <v>0.41620667758498586</v>
      </c>
      <c r="U18" s="52">
        <f t="shared" si="0"/>
        <v>0.41773556132233103</v>
      </c>
      <c r="Y18">
        <v>-2.5</v>
      </c>
      <c r="Z18">
        <f t="shared" ca="1" si="2"/>
        <v>810.96668701602857</v>
      </c>
      <c r="AA18">
        <f t="shared" si="3"/>
        <v>1.7528300493568537E-2</v>
      </c>
      <c r="AB18" t="str">
        <f t="shared" ca="1" si="4"/>
        <v/>
      </c>
    </row>
    <row r="19" spans="1:28">
      <c r="A19" s="86" t="s">
        <v>97</v>
      </c>
      <c r="K19" s="88">
        <v>1.4</v>
      </c>
      <c r="L19" s="52">
        <f t="shared" si="0"/>
        <v>0.41924334076622882</v>
      </c>
      <c r="M19" s="52">
        <f t="shared" si="0"/>
        <v>0.42073015854660767</v>
      </c>
      <c r="N19" s="52">
        <f t="shared" si="0"/>
        <v>0.42219615947345357</v>
      </c>
      <c r="O19" s="52">
        <f t="shared" si="0"/>
        <v>0.42364149046326105</v>
      </c>
      <c r="P19" s="52">
        <f t="shared" si="0"/>
        <v>0.42506630046567273</v>
      </c>
      <c r="Q19" s="52">
        <f t="shared" si="0"/>
        <v>0.42647074039035149</v>
      </c>
      <c r="R19" s="52">
        <f t="shared" si="0"/>
        <v>0.42785496303410619</v>
      </c>
      <c r="S19" s="52">
        <f t="shared" si="0"/>
        <v>0.42921912300831444</v>
      </c>
      <c r="T19" s="52">
        <f t="shared" si="0"/>
        <v>0.43056337666666822</v>
      </c>
      <c r="U19" s="52">
        <f t="shared" si="0"/>
        <v>0.43188788203327455</v>
      </c>
      <c r="Y19">
        <v>-2.4</v>
      </c>
      <c r="Z19">
        <f t="shared" ca="1" si="2"/>
        <v>811.59801953538749</v>
      </c>
      <c r="AA19">
        <f t="shared" si="3"/>
        <v>2.2394530294842896E-2</v>
      </c>
      <c r="AB19" t="str">
        <f t="shared" ca="1" si="4"/>
        <v/>
      </c>
    </row>
    <row r="20" spans="1:28">
      <c r="A20" s="49" t="s">
        <v>179</v>
      </c>
      <c r="K20" s="88">
        <v>1.5</v>
      </c>
      <c r="L20" s="52">
        <f t="shared" si="0"/>
        <v>0.43319279873114191</v>
      </c>
      <c r="M20" s="52">
        <f t="shared" si="0"/>
        <v>0.43447828791108356</v>
      </c>
      <c r="N20" s="52">
        <f t="shared" si="0"/>
        <v>0.43574451218106414</v>
      </c>
      <c r="O20" s="52">
        <f t="shared" si="0"/>
        <v>0.43699163553602149</v>
      </c>
      <c r="P20" s="52">
        <f t="shared" si="0"/>
        <v>0.43821982328818798</v>
      </c>
      <c r="Q20" s="52">
        <f t="shared" si="0"/>
        <v>0.43942924199794109</v>
      </c>
      <c r="R20" s="52">
        <f t="shared" si="0"/>
        <v>0.44062005940520699</v>
      </c>
      <c r="S20" s="52">
        <f t="shared" si="0"/>
        <v>0.44179244436144693</v>
      </c>
      <c r="T20" s="52">
        <f t="shared" si="0"/>
        <v>0.44294656676224586</v>
      </c>
      <c r="U20" s="52">
        <f t="shared" si="0"/>
        <v>0.44408259748053047</v>
      </c>
      <c r="Y20">
        <v>-2.2999999999999998</v>
      </c>
      <c r="Z20">
        <f t="shared" ca="1" si="2"/>
        <v>812.2293520547463</v>
      </c>
      <c r="AA20">
        <f t="shared" si="3"/>
        <v>2.8327037741601183E-2</v>
      </c>
      <c r="AB20" t="str">
        <f t="shared" ca="1" si="4"/>
        <v/>
      </c>
    </row>
    <row r="21" spans="1:28">
      <c r="A21" s="53" t="s">
        <v>98</v>
      </c>
      <c r="K21" s="88">
        <v>1.6</v>
      </c>
      <c r="L21" s="52">
        <f t="shared" ref="L21:U35" si="5">NORMDIST($K21+L$4,0,1,1)-0.5</f>
        <v>0.44520070830044201</v>
      </c>
      <c r="M21" s="52">
        <f t="shared" si="5"/>
        <v>0.44630107185188028</v>
      </c>
      <c r="N21" s="52">
        <f t="shared" si="5"/>
        <v>0.44738386154574794</v>
      </c>
      <c r="O21" s="52">
        <f t="shared" si="5"/>
        <v>0.44844925150991055</v>
      </c>
      <c r="P21" s="52">
        <f t="shared" si="5"/>
        <v>0.44949741652589603</v>
      </c>
      <c r="Q21" s="52">
        <f t="shared" si="5"/>
        <v>0.4505285319663519</v>
      </c>
      <c r="R21" s="52">
        <f t="shared" si="5"/>
        <v>0.45154277373327723</v>
      </c>
      <c r="S21" s="52">
        <f t="shared" si="5"/>
        <v>0.45254031819705265</v>
      </c>
      <c r="T21" s="52">
        <f t="shared" si="5"/>
        <v>0.45352134213628004</v>
      </c>
      <c r="U21" s="52">
        <f t="shared" si="5"/>
        <v>0.45448602267845017</v>
      </c>
      <c r="Y21">
        <v>-2.2000000000000002</v>
      </c>
      <c r="Z21">
        <f t="shared" ca="1" si="2"/>
        <v>812.86068457410522</v>
      </c>
      <c r="AA21">
        <f t="shared" si="3"/>
        <v>3.5474592846231418E-2</v>
      </c>
      <c r="AB21" t="str">
        <f t="shared" ca="1" si="4"/>
        <v/>
      </c>
    </row>
    <row r="22" spans="1:28">
      <c r="A22" s="50" t="s">
        <v>180</v>
      </c>
      <c r="K22" s="88">
        <v>1.7</v>
      </c>
      <c r="L22" s="52">
        <f t="shared" si="5"/>
        <v>0.45543453724145688</v>
      </c>
      <c r="M22" s="52">
        <f t="shared" si="5"/>
        <v>0.456367063475968</v>
      </c>
      <c r="N22" s="52">
        <f t="shared" si="5"/>
        <v>0.45728377920867103</v>
      </c>
      <c r="O22" s="52">
        <f t="shared" si="5"/>
        <v>0.4581848623864051</v>
      </c>
      <c r="P22" s="52">
        <f t="shared" si="5"/>
        <v>0.45907049102119268</v>
      </c>
      <c r="Q22" s="52">
        <f t="shared" si="5"/>
        <v>0.45994084313618289</v>
      </c>
      <c r="R22" s="52">
        <f t="shared" si="5"/>
        <v>0.46079609671251731</v>
      </c>
      <c r="S22" s="52">
        <f t="shared" si="5"/>
        <v>0.46163642963712859</v>
      </c>
      <c r="T22" s="52">
        <f t="shared" si="5"/>
        <v>0.46246201965148315</v>
      </c>
      <c r="U22" s="52">
        <f t="shared" si="5"/>
        <v>0.46327304430127381</v>
      </c>
      <c r="Y22">
        <v>-2.1</v>
      </c>
      <c r="Z22">
        <f t="shared" ca="1" si="2"/>
        <v>813.49201709346403</v>
      </c>
      <c r="AA22">
        <f t="shared" si="3"/>
        <v>4.3983595980427184E-2</v>
      </c>
      <c r="AB22" t="str">
        <f t="shared" ca="1" si="4"/>
        <v/>
      </c>
    </row>
    <row r="23" spans="1:28">
      <c r="A23" s="1" t="s">
        <v>181</v>
      </c>
      <c r="K23" s="88">
        <v>1.8</v>
      </c>
      <c r="L23" s="52">
        <f t="shared" si="5"/>
        <v>0.46406968088707412</v>
      </c>
      <c r="M23" s="52">
        <f t="shared" si="5"/>
        <v>0.46485210641596131</v>
      </c>
      <c r="N23" s="52">
        <f t="shared" si="5"/>
        <v>0.46562049755411006</v>
      </c>
      <c r="O23" s="52">
        <f t="shared" si="5"/>
        <v>0.46637503058037166</v>
      </c>
      <c r="P23" s="52">
        <f t="shared" si="5"/>
        <v>0.46711588134083626</v>
      </c>
      <c r="Q23" s="52">
        <f t="shared" si="5"/>
        <v>0.46784322520438637</v>
      </c>
      <c r="R23" s="52">
        <f t="shared" si="5"/>
        <v>0.46855723701924734</v>
      </c>
      <c r="S23" s="52">
        <f t="shared" si="5"/>
        <v>0.46925809107053396</v>
      </c>
      <c r="T23" s="52">
        <f t="shared" si="5"/>
        <v>0.46994596103880037</v>
      </c>
      <c r="U23" s="52">
        <f t="shared" si="5"/>
        <v>0.4706210199595906</v>
      </c>
      <c r="Y23">
        <v>-2</v>
      </c>
      <c r="Z23">
        <f t="shared" ca="1" si="2"/>
        <v>814.12334961282284</v>
      </c>
      <c r="AA23">
        <f t="shared" si="3"/>
        <v>5.3990966513188049E-2</v>
      </c>
      <c r="AB23" t="str">
        <f t="shared" ca="1" si="4"/>
        <v/>
      </c>
    </row>
    <row r="24" spans="1:28">
      <c r="A24" s="51" t="s">
        <v>182</v>
      </c>
      <c r="K24" s="88">
        <v>1.9</v>
      </c>
      <c r="L24" s="52">
        <f t="shared" si="5"/>
        <v>0.47128344018399804</v>
      </c>
      <c r="M24" s="52">
        <f t="shared" si="5"/>
        <v>0.47193339334022744</v>
      </c>
      <c r="N24" s="52">
        <f t="shared" si="5"/>
        <v>0.47257105029616309</v>
      </c>
      <c r="O24" s="52">
        <f t="shared" si="5"/>
        <v>0.47319658112294505</v>
      </c>
      <c r="P24" s="52">
        <f t="shared" si="5"/>
        <v>0.47381015505954727</v>
      </c>
      <c r="Q24" s="52">
        <f t="shared" si="5"/>
        <v>0.47441194047836133</v>
      </c>
      <c r="R24" s="52">
        <f t="shared" si="5"/>
        <v>0.47500210485177963</v>
      </c>
      <c r="S24" s="52">
        <f t="shared" si="5"/>
        <v>0.47558081471977753</v>
      </c>
      <c r="T24" s="52">
        <f t="shared" si="5"/>
        <v>0.4761482356584914</v>
      </c>
      <c r="U24" s="52">
        <f t="shared" si="5"/>
        <v>0.47670453224978815</v>
      </c>
      <c r="Y24">
        <v>-1.9</v>
      </c>
      <c r="Z24">
        <f t="shared" ca="1" si="2"/>
        <v>814.75468213218176</v>
      </c>
      <c r="AA24">
        <f t="shared" si="3"/>
        <v>6.5615814774676581E-2</v>
      </c>
      <c r="AB24">
        <f t="shared" ca="1" si="4"/>
        <v>6.5615814774676581E-2</v>
      </c>
    </row>
    <row r="25" spans="1:28">
      <c r="K25" s="88">
        <v>2</v>
      </c>
      <c r="L25" s="52">
        <f t="shared" si="5"/>
        <v>0.47724986805182068</v>
      </c>
      <c r="M25" s="52">
        <f t="shared" si="5"/>
        <v>0.47778440557056834</v>
      </c>
      <c r="N25" s="52">
        <f t="shared" si="5"/>
        <v>0.47830830623235299</v>
      </c>
      <c r="O25" s="52">
        <f t="shared" si="5"/>
        <v>0.47882173035732767</v>
      </c>
      <c r="P25" s="52">
        <f t="shared" si="5"/>
        <v>0.47932483713392982</v>
      </c>
      <c r="Q25" s="52">
        <f t="shared" si="5"/>
        <v>0.47981778459429547</v>
      </c>
      <c r="R25" s="52">
        <f t="shared" si="5"/>
        <v>0.4803007295906232</v>
      </c>
      <c r="S25" s="52">
        <f t="shared" si="5"/>
        <v>0.48077382777248279</v>
      </c>
      <c r="T25" s="52">
        <f t="shared" si="5"/>
        <v>0.48123723356506221</v>
      </c>
      <c r="U25" s="52">
        <f t="shared" si="5"/>
        <v>0.48169110014834104</v>
      </c>
      <c r="Y25">
        <v>-1.8</v>
      </c>
      <c r="Z25">
        <f t="shared" ca="1" si="2"/>
        <v>815.38601465154056</v>
      </c>
      <c r="AA25">
        <f t="shared" si="3"/>
        <v>7.8950158300894135E-2</v>
      </c>
      <c r="AB25">
        <f t="shared" ca="1" si="4"/>
        <v>7.8950158300894135E-2</v>
      </c>
    </row>
    <row r="26" spans="1:28">
      <c r="K26" s="88">
        <v>2.1</v>
      </c>
      <c r="L26" s="52">
        <f t="shared" si="5"/>
        <v>0.48213557943718355</v>
      </c>
      <c r="M26" s="52">
        <f t="shared" si="5"/>
        <v>0.48257082206234281</v>
      </c>
      <c r="N26" s="52">
        <f t="shared" si="5"/>
        <v>0.48299697735236702</v>
      </c>
      <c r="O26" s="52">
        <f t="shared" si="5"/>
        <v>0.4834141933163949</v>
      </c>
      <c r="P26" s="52">
        <f t="shared" si="5"/>
        <v>0.48382261662783388</v>
      </c>
      <c r="Q26" s="52">
        <f t="shared" si="5"/>
        <v>0.48422239260890954</v>
      </c>
      <c r="R26" s="52">
        <f t="shared" si="5"/>
        <v>0.48461366521607452</v>
      </c>
      <c r="S26" s="52">
        <f t="shared" si="5"/>
        <v>0.48499657702626764</v>
      </c>
      <c r="T26" s="52">
        <f t="shared" si="5"/>
        <v>0.48537126922401086</v>
      </c>
      <c r="U26" s="52">
        <f t="shared" si="5"/>
        <v>0.48573788158933118</v>
      </c>
      <c r="Y26">
        <v>-1.7</v>
      </c>
      <c r="Z26">
        <f t="shared" ca="1" si="2"/>
        <v>816.01734717089948</v>
      </c>
      <c r="AA26">
        <f t="shared" si="3"/>
        <v>9.4049077376886933E-2</v>
      </c>
      <c r="AB26">
        <f t="shared" ca="1" si="4"/>
        <v>9.4049077376886933E-2</v>
      </c>
    </row>
    <row r="27" spans="1:28">
      <c r="K27" s="88">
        <v>2.2000000000000002</v>
      </c>
      <c r="L27" s="52">
        <f t="shared" si="5"/>
        <v>0.48609655248650141</v>
      </c>
      <c r="M27" s="52">
        <f t="shared" si="5"/>
        <v>0.48644741885358012</v>
      </c>
      <c r="N27" s="52">
        <f t="shared" si="5"/>
        <v>0.48679061619274377</v>
      </c>
      <c r="O27" s="52">
        <f t="shared" si="5"/>
        <v>0.48712627856139801</v>
      </c>
      <c r="P27" s="52">
        <f t="shared" si="5"/>
        <v>0.48745453856405341</v>
      </c>
      <c r="Q27" s="52">
        <f t="shared" si="5"/>
        <v>0.48777552734495533</v>
      </c>
      <c r="R27" s="52">
        <f t="shared" si="5"/>
        <v>0.48808937458145296</v>
      </c>
      <c r="S27" s="52">
        <f t="shared" si="5"/>
        <v>0.48839620847809651</v>
      </c>
      <c r="T27" s="52">
        <f t="shared" si="5"/>
        <v>0.48869615576144732</v>
      </c>
      <c r="U27" s="52">
        <f t="shared" si="5"/>
        <v>0.48898934167558838</v>
      </c>
      <c r="Y27">
        <v>-1.6</v>
      </c>
      <c r="Z27">
        <f t="shared" ca="1" si="2"/>
        <v>816.64867969025829</v>
      </c>
      <c r="AA27">
        <f t="shared" si="3"/>
        <v>0.11092083467945553</v>
      </c>
      <c r="AB27">
        <f t="shared" ca="1" si="4"/>
        <v>0.11092083467945553</v>
      </c>
    </row>
    <row r="28" spans="1:28">
      <c r="K28" s="88">
        <v>2.2999999999999998</v>
      </c>
      <c r="L28" s="52">
        <f t="shared" si="5"/>
        <v>0.48927588997832405</v>
      </c>
      <c r="M28" s="52">
        <f t="shared" si="5"/>
        <v>0.48955592293804884</v>
      </c>
      <c r="N28" s="52">
        <f t="shared" si="5"/>
        <v>0.48982956133128019</v>
      </c>
      <c r="O28" s="52">
        <f t="shared" si="5"/>
        <v>0.49009692444083575</v>
      </c>
      <c r="P28" s="52">
        <f t="shared" si="5"/>
        <v>0.49035813005464146</v>
      </c>
      <c r="Q28" s="52">
        <f t="shared" si="5"/>
        <v>0.49061329446516133</v>
      </c>
      <c r="R28" s="52">
        <f t="shared" si="5"/>
        <v>0.49086253246942713</v>
      </c>
      <c r="S28" s="52">
        <f t="shared" si="5"/>
        <v>0.49110595736966312</v>
      </c>
      <c r="T28" s="52">
        <f t="shared" si="5"/>
        <v>0.49134368097448333</v>
      </c>
      <c r="U28" s="52">
        <f t="shared" si="5"/>
        <v>0.4915758136006545</v>
      </c>
      <c r="Y28">
        <v>-1.5</v>
      </c>
      <c r="Z28">
        <f t="shared" ca="1" si="2"/>
        <v>817.28001220961721</v>
      </c>
      <c r="AA28">
        <f t="shared" si="3"/>
        <v>0.12951759566589172</v>
      </c>
      <c r="AB28">
        <f t="shared" ca="1" si="4"/>
        <v>0.12951759566589172</v>
      </c>
    </row>
    <row r="29" spans="1:28">
      <c r="K29" s="88">
        <v>2.4</v>
      </c>
      <c r="L29" s="52">
        <f t="shared" si="5"/>
        <v>0.49180246407540396</v>
      </c>
      <c r="M29" s="52">
        <f t="shared" si="5"/>
        <v>0.49202373973926639</v>
      </c>
      <c r="N29" s="52">
        <f t="shared" si="5"/>
        <v>0.49223974644944612</v>
      </c>
      <c r="O29" s="52">
        <f t="shared" si="5"/>
        <v>0.49245058858369084</v>
      </c>
      <c r="P29" s="52">
        <f t="shared" si="5"/>
        <v>0.4926563690446516</v>
      </c>
      <c r="Q29" s="52">
        <f t="shared" si="5"/>
        <v>0.49285718926472855</v>
      </c>
      <c r="R29" s="52">
        <f t="shared" si="5"/>
        <v>0.49305314921137589</v>
      </c>
      <c r="S29" s="52">
        <f t="shared" si="5"/>
        <v>0.49324434739285938</v>
      </c>
      <c r="T29" s="52">
        <f t="shared" si="5"/>
        <v>0.49343088086445341</v>
      </c>
      <c r="U29" s="52">
        <f t="shared" si="5"/>
        <v>0.49361284523505655</v>
      </c>
      <c r="Y29">
        <v>-1.4</v>
      </c>
      <c r="Z29">
        <f t="shared" ca="1" si="2"/>
        <v>817.91134472897602</v>
      </c>
      <c r="AA29">
        <f t="shared" si="3"/>
        <v>0.14972746563574485</v>
      </c>
      <c r="AB29">
        <f t="shared" ca="1" si="4"/>
        <v>0.14972746563574485</v>
      </c>
    </row>
    <row r="30" spans="1:28">
      <c r="K30" s="88">
        <v>2.5</v>
      </c>
      <c r="L30" s="52">
        <f t="shared" si="5"/>
        <v>0.49379033467422406</v>
      </c>
      <c r="M30" s="52">
        <f t="shared" si="5"/>
        <v>0.49396344191958752</v>
      </c>
      <c r="N30" s="52">
        <f t="shared" si="5"/>
        <v>0.49413225828466745</v>
      </c>
      <c r="O30" s="52">
        <f t="shared" si="5"/>
        <v>0.49429687366704944</v>
      </c>
      <c r="P30" s="52">
        <f t="shared" si="5"/>
        <v>0.49445737655691757</v>
      </c>
      <c r="Q30" s="52">
        <f t="shared" si="5"/>
        <v>0.49461385404593339</v>
      </c>
      <c r="R30" s="52">
        <f t="shared" si="5"/>
        <v>0.49476639183644422</v>
      </c>
      <c r="S30" s="52">
        <f t="shared" si="5"/>
        <v>0.49491507425100889</v>
      </c>
      <c r="T30" s="52">
        <f t="shared" si="5"/>
        <v>0.49505998424222941</v>
      </c>
      <c r="U30" s="52">
        <f t="shared" si="5"/>
        <v>0.49520120340287366</v>
      </c>
      <c r="Y30">
        <v>-1.3</v>
      </c>
      <c r="Z30">
        <f t="shared" ca="1" si="2"/>
        <v>818.54267724833483</v>
      </c>
      <c r="AA30">
        <f t="shared" si="3"/>
        <v>0.17136859204780733</v>
      </c>
      <c r="AB30">
        <f t="shared" ca="1" si="4"/>
        <v>0.17136859204780733</v>
      </c>
    </row>
    <row r="31" spans="1:28">
      <c r="K31" s="88">
        <v>2.6</v>
      </c>
      <c r="L31" s="52">
        <f t="shared" si="5"/>
        <v>0.49533881197628127</v>
      </c>
      <c r="M31" s="52">
        <f t="shared" si="5"/>
        <v>0.49547288886703256</v>
      </c>
      <c r="N31" s="52">
        <f t="shared" si="5"/>
        <v>0.49560351165187855</v>
      </c>
      <c r="O31" s="52">
        <f t="shared" si="5"/>
        <v>0.49573075659091081</v>
      </c>
      <c r="P31" s="52">
        <f t="shared" si="5"/>
        <v>0.49585469863896381</v>
      </c>
      <c r="Q31" s="52">
        <f t="shared" si="5"/>
        <v>0.49597541145724156</v>
      </c>
      <c r="R31" s="52">
        <f t="shared" si="5"/>
        <v>0.4960929674251473</v>
      </c>
      <c r="S31" s="52">
        <f t="shared" si="5"/>
        <v>0.49620743765231445</v>
      </c>
      <c r="T31" s="52">
        <f t="shared" si="5"/>
        <v>0.49631889199082491</v>
      </c>
      <c r="U31" s="52">
        <f t="shared" si="5"/>
        <v>0.49642739904760036</v>
      </c>
      <c r="Y31">
        <v>-1.2</v>
      </c>
      <c r="Z31">
        <f t="shared" ca="1" si="2"/>
        <v>819.17400976769375</v>
      </c>
      <c r="AA31">
        <f t="shared" si="3"/>
        <v>0.19418605498321292</v>
      </c>
      <c r="AB31">
        <f t="shared" ca="1" si="4"/>
        <v>0.19418605498321292</v>
      </c>
    </row>
    <row r="32" spans="1:28">
      <c r="K32" s="88">
        <v>2.7</v>
      </c>
      <c r="L32" s="52">
        <f t="shared" si="5"/>
        <v>0.49653302619695938</v>
      </c>
      <c r="M32" s="52">
        <f t="shared" si="5"/>
        <v>0.4966358395933308</v>
      </c>
      <c r="N32" s="52">
        <f t="shared" si="5"/>
        <v>0.49673590418410873</v>
      </c>
      <c r="O32" s="52">
        <f t="shared" si="5"/>
        <v>0.49683328372264224</v>
      </c>
      <c r="P32" s="52">
        <f t="shared" si="5"/>
        <v>0.49692804078134944</v>
      </c>
      <c r="Q32" s="52">
        <f t="shared" si="5"/>
        <v>0.49702023676494544</v>
      </c>
      <c r="R32" s="52">
        <f t="shared" si="5"/>
        <v>0.49710993192377395</v>
      </c>
      <c r="S32" s="52">
        <f t="shared" si="5"/>
        <v>0.49719718536723501</v>
      </c>
      <c r="T32" s="52">
        <f t="shared" si="5"/>
        <v>0.4972820550772985</v>
      </c>
      <c r="U32" s="52">
        <f t="shared" si="5"/>
        <v>0.49736459792209509</v>
      </c>
      <c r="Y32">
        <v>-1.1000000000000001</v>
      </c>
      <c r="Z32">
        <f t="shared" ca="1" si="2"/>
        <v>819.80534228705255</v>
      </c>
      <c r="AA32">
        <f t="shared" si="3"/>
        <v>0.2178521770325505</v>
      </c>
      <c r="AB32">
        <f t="shared" ca="1" si="4"/>
        <v>0.2178521770325505</v>
      </c>
    </row>
    <row r="33" spans="11:28">
      <c r="K33" s="88">
        <v>2.8</v>
      </c>
      <c r="L33" s="52">
        <f t="shared" si="5"/>
        <v>0.49744486966957213</v>
      </c>
      <c r="M33" s="52">
        <f t="shared" si="5"/>
        <v>0.49752292500121409</v>
      </c>
      <c r="N33" s="52">
        <f t="shared" si="5"/>
        <v>0.49759881752581081</v>
      </c>
      <c r="O33" s="52">
        <f t="shared" si="5"/>
        <v>0.49767259979326872</v>
      </c>
      <c r="P33" s="52">
        <f t="shared" si="5"/>
        <v>0.49774432330845786</v>
      </c>
      <c r="Q33" s="52">
        <f t="shared" si="5"/>
        <v>0.49781403854508666</v>
      </c>
      <c r="R33" s="52">
        <f t="shared" si="5"/>
        <v>0.49788179495959528</v>
      </c>
      <c r="S33" s="52">
        <f t="shared" si="5"/>
        <v>0.49794764100506017</v>
      </c>
      <c r="T33" s="52">
        <f t="shared" si="5"/>
        <v>0.4980116241451058</v>
      </c>
      <c r="U33" s="52">
        <f t="shared" si="5"/>
        <v>0.49807379086781234</v>
      </c>
      <c r="Y33">
        <v>-1</v>
      </c>
      <c r="Z33">
        <f t="shared" ca="1" si="2"/>
        <v>820.43667480641147</v>
      </c>
      <c r="AA33">
        <f t="shared" si="3"/>
        <v>0.24197072451914334</v>
      </c>
      <c r="AB33">
        <f t="shared" ca="1" si="4"/>
        <v>0.24197072451914334</v>
      </c>
    </row>
    <row r="34" spans="11:28">
      <c r="K34" s="88">
        <v>2.9</v>
      </c>
      <c r="L34" s="52">
        <f t="shared" si="5"/>
        <v>0.49813418669961629</v>
      </c>
      <c r="M34" s="52">
        <f t="shared" si="5"/>
        <v>0.49819285621919329</v>
      </c>
      <c r="N34" s="52">
        <f t="shared" si="5"/>
        <v>0.49824984307132403</v>
      </c>
      <c r="O34" s="52">
        <f t="shared" si="5"/>
        <v>0.49830518998072271</v>
      </c>
      <c r="P34" s="52">
        <f t="shared" si="5"/>
        <v>0.49835893876584292</v>
      </c>
      <c r="Q34" s="52">
        <f t="shared" si="5"/>
        <v>0.49841113035263507</v>
      </c>
      <c r="R34" s="52">
        <f t="shared" si="5"/>
        <v>0.49846180478826185</v>
      </c>
      <c r="S34" s="52">
        <f t="shared" si="5"/>
        <v>0.49851100125476266</v>
      </c>
      <c r="T34" s="52">
        <f t="shared" si="5"/>
        <v>0.49855875808266015</v>
      </c>
      <c r="U34" s="52">
        <f t="shared" si="5"/>
        <v>0.49860511276450747</v>
      </c>
      <c r="Y34">
        <v>-0.9</v>
      </c>
      <c r="Z34">
        <f t="shared" ca="1" si="2"/>
        <v>821.06800732577028</v>
      </c>
      <c r="AA34">
        <f t="shared" si="3"/>
        <v>0.26608524989875482</v>
      </c>
      <c r="AB34">
        <f t="shared" ca="1" si="4"/>
        <v>0.26608524989875482</v>
      </c>
    </row>
    <row r="35" spans="11:28">
      <c r="K35" s="88">
        <v>3</v>
      </c>
      <c r="L35" s="52">
        <f t="shared" si="5"/>
        <v>0.4986501019683699</v>
      </c>
      <c r="M35" s="52">
        <f t="shared" si="5"/>
        <v>0.49869376155123057</v>
      </c>
      <c r="N35" s="52">
        <f t="shared" si="5"/>
        <v>0.49873612657232791</v>
      </c>
      <c r="O35" s="52">
        <f t="shared" si="5"/>
        <v>0.49877723130640783</v>
      </c>
      <c r="P35" s="52">
        <f t="shared" si="5"/>
        <v>0.4988171092568956</v>
      </c>
      <c r="Q35" s="52">
        <f t="shared" si="5"/>
        <v>0.49885579316897721</v>
      </c>
      <c r="R35" s="52">
        <f t="shared" si="5"/>
        <v>0.49889331504259105</v>
      </c>
      <c r="S35" s="52">
        <f t="shared" si="5"/>
        <v>0.49892970614532117</v>
      </c>
      <c r="T35" s="52">
        <f t="shared" si="5"/>
        <v>0.49896499702519703</v>
      </c>
      <c r="U35" s="52">
        <f t="shared" si="5"/>
        <v>0.49899921752338594</v>
      </c>
      <c r="Y35">
        <v>-0.8</v>
      </c>
      <c r="Z35">
        <f t="shared" ca="1" si="2"/>
        <v>821.6993398451292</v>
      </c>
      <c r="AA35">
        <f t="shared" si="3"/>
        <v>0.28969155276148267</v>
      </c>
      <c r="AB35">
        <f t="shared" ca="1" si="4"/>
        <v>0.28969155276148267</v>
      </c>
    </row>
    <row r="36" spans="11:28">
      <c r="Y36">
        <v>-0.7</v>
      </c>
      <c r="Z36">
        <f t="shared" ca="1" si="2"/>
        <v>822.33067236448801</v>
      </c>
      <c r="AA36">
        <f t="shared" si="3"/>
        <v>0.31225393336676122</v>
      </c>
      <c r="AB36">
        <f t="shared" ca="1" si="4"/>
        <v>0.31225393336676122</v>
      </c>
    </row>
    <row r="37" spans="11:28">
      <c r="Y37">
        <v>-0.6</v>
      </c>
      <c r="Z37">
        <f t="shared" ca="1" si="2"/>
        <v>822.96200488384682</v>
      </c>
      <c r="AA37">
        <f t="shared" si="3"/>
        <v>0.33322460289179962</v>
      </c>
      <c r="AB37">
        <f t="shared" ca="1" si="4"/>
        <v>0.33322460289179962</v>
      </c>
    </row>
    <row r="38" spans="11:28">
      <c r="Y38">
        <v>-0.5</v>
      </c>
      <c r="Z38">
        <f t="shared" ca="1" si="2"/>
        <v>823.59333740320574</v>
      </c>
      <c r="AA38">
        <f t="shared" si="3"/>
        <v>0.35206532676429947</v>
      </c>
      <c r="AB38">
        <f t="shared" ca="1" si="4"/>
        <v>0.35206532676429947</v>
      </c>
    </row>
    <row r="39" spans="11:28">
      <c r="Y39">
        <v>-0.4</v>
      </c>
      <c r="Z39">
        <f t="shared" ca="1" si="2"/>
        <v>824.22466992256454</v>
      </c>
      <c r="AA39">
        <f t="shared" si="3"/>
        <v>0.36827014030332328</v>
      </c>
      <c r="AB39">
        <f t="shared" ca="1" si="4"/>
        <v>0.36827014030332328</v>
      </c>
    </row>
    <row r="40" spans="11:28">
      <c r="Y40">
        <v>-0.3</v>
      </c>
      <c r="Z40">
        <f t="shared" ca="1" si="2"/>
        <v>824.85600244192347</v>
      </c>
      <c r="AA40">
        <f t="shared" si="3"/>
        <v>0.38138781546052408</v>
      </c>
      <c r="AB40">
        <f t="shared" ca="1" si="4"/>
        <v>0.38138781546052408</v>
      </c>
    </row>
    <row r="41" spans="11:28">
      <c r="Y41">
        <v>-0.2</v>
      </c>
      <c r="Z41">
        <f t="shared" ca="1" si="2"/>
        <v>825.48733496128227</v>
      </c>
      <c r="AA41">
        <f t="shared" si="3"/>
        <v>0.39104269397545582</v>
      </c>
      <c r="AB41">
        <f t="shared" ca="1" si="4"/>
        <v>0.39104269397545582</v>
      </c>
    </row>
    <row r="42" spans="11:28">
      <c r="Y42">
        <v>-0.1</v>
      </c>
      <c r="Z42">
        <f t="shared" ca="1" si="2"/>
        <v>826.11866748064119</v>
      </c>
      <c r="AA42">
        <f t="shared" si="3"/>
        <v>0.39695254747701175</v>
      </c>
      <c r="AB42">
        <f t="shared" ca="1" si="4"/>
        <v>0.39695254747701175</v>
      </c>
    </row>
    <row r="43" spans="11:28">
      <c r="Y43">
        <v>0</v>
      </c>
      <c r="Z43">
        <f t="shared" ca="1" si="2"/>
        <v>826.75</v>
      </c>
      <c r="AA43">
        <f t="shared" si="3"/>
        <v>0.39894228040143265</v>
      </c>
      <c r="AB43">
        <f t="shared" ca="1" si="4"/>
        <v>0.39894228040143265</v>
      </c>
    </row>
    <row r="44" spans="11:28">
      <c r="Y44">
        <v>0.1</v>
      </c>
      <c r="Z44">
        <f t="shared" ca="1" si="2"/>
        <v>827.38133251935881</v>
      </c>
      <c r="AA44">
        <f t="shared" si="3"/>
        <v>0.39695254747701175</v>
      </c>
      <c r="AB44">
        <f t="shared" ca="1" si="4"/>
        <v>0.39695254747701175</v>
      </c>
    </row>
    <row r="45" spans="11:28">
      <c r="Y45">
        <v>0.2</v>
      </c>
      <c r="Z45">
        <f t="shared" ca="1" si="2"/>
        <v>828.01266503871773</v>
      </c>
      <c r="AA45">
        <f t="shared" si="3"/>
        <v>0.39104269397545582</v>
      </c>
      <c r="AB45">
        <f t="shared" ca="1" si="4"/>
        <v>0.39104269397545582</v>
      </c>
    </row>
    <row r="46" spans="11:28">
      <c r="Y46">
        <v>0.3</v>
      </c>
      <c r="Z46">
        <f t="shared" ca="1" si="2"/>
        <v>828.64399755807653</v>
      </c>
      <c r="AA46">
        <f t="shared" si="3"/>
        <v>0.38138781546052408</v>
      </c>
      <c r="AB46">
        <f t="shared" ca="1" si="4"/>
        <v>0.38138781546052408</v>
      </c>
    </row>
    <row r="47" spans="11:28">
      <c r="Y47">
        <v>0.4</v>
      </c>
      <c r="Z47">
        <f t="shared" ca="1" si="2"/>
        <v>829.27533007743546</v>
      </c>
      <c r="AA47">
        <f t="shared" si="3"/>
        <v>0.36827014030332328</v>
      </c>
      <c r="AB47">
        <f t="shared" ca="1" si="4"/>
        <v>0.36827014030332328</v>
      </c>
    </row>
    <row r="48" spans="11:28">
      <c r="Y48">
        <v>0.5</v>
      </c>
      <c r="Z48">
        <f t="shared" ca="1" si="2"/>
        <v>829.90666259679426</v>
      </c>
      <c r="AA48">
        <f t="shared" si="3"/>
        <v>0.35206532676429947</v>
      </c>
      <c r="AB48">
        <f t="shared" ca="1" si="4"/>
        <v>0.35206532676429947</v>
      </c>
    </row>
    <row r="49" spans="25:28">
      <c r="Y49">
        <v>0.6</v>
      </c>
      <c r="Z49">
        <f t="shared" ca="1" si="2"/>
        <v>830.53799511615318</v>
      </c>
      <c r="AA49">
        <f t="shared" si="3"/>
        <v>0.33322460289179962</v>
      </c>
      <c r="AB49">
        <f t="shared" ca="1" si="4"/>
        <v>0.33322460289179962</v>
      </c>
    </row>
    <row r="50" spans="25:28">
      <c r="Y50">
        <v>0.7</v>
      </c>
      <c r="Z50">
        <f t="shared" ca="1" si="2"/>
        <v>831.16932763551199</v>
      </c>
      <c r="AA50">
        <f t="shared" si="3"/>
        <v>0.31225393336676122</v>
      </c>
      <c r="AB50">
        <f t="shared" ca="1" si="4"/>
        <v>0.31225393336676122</v>
      </c>
    </row>
    <row r="51" spans="25:28">
      <c r="Y51">
        <v>0.8</v>
      </c>
      <c r="Z51">
        <f t="shared" ca="1" si="2"/>
        <v>831.8006601548708</v>
      </c>
      <c r="AA51">
        <f t="shared" si="3"/>
        <v>0.28969155276148267</v>
      </c>
      <c r="AB51">
        <f t="shared" ca="1" si="4"/>
        <v>0.28969155276148267</v>
      </c>
    </row>
    <row r="52" spans="25:28">
      <c r="Y52">
        <v>0.9</v>
      </c>
      <c r="Z52">
        <f t="shared" ca="1" si="2"/>
        <v>832.43199267422972</v>
      </c>
      <c r="AA52">
        <f t="shared" si="3"/>
        <v>0.26608524989875482</v>
      </c>
      <c r="AB52">
        <f t="shared" ca="1" si="4"/>
        <v>0.26608524989875482</v>
      </c>
    </row>
    <row r="53" spans="25:28">
      <c r="Y53">
        <v>1</v>
      </c>
      <c r="Z53">
        <f t="shared" ca="1" si="2"/>
        <v>833.06332519358853</v>
      </c>
      <c r="AA53">
        <f t="shared" si="3"/>
        <v>0.24197072451914334</v>
      </c>
      <c r="AB53">
        <f t="shared" ca="1" si="4"/>
        <v>0.24197072451914334</v>
      </c>
    </row>
    <row r="54" spans="25:28">
      <c r="Y54">
        <v>1.1000000000000001</v>
      </c>
      <c r="Z54">
        <f t="shared" ca="1" si="2"/>
        <v>833.69465771294745</v>
      </c>
      <c r="AA54">
        <f t="shared" si="3"/>
        <v>0.2178521770325505</v>
      </c>
      <c r="AB54">
        <f t="shared" ca="1" si="4"/>
        <v>0.2178521770325505</v>
      </c>
    </row>
    <row r="55" spans="25:28">
      <c r="Y55">
        <v>1.2</v>
      </c>
      <c r="Z55">
        <f t="shared" ca="1" si="2"/>
        <v>834.32599023230625</v>
      </c>
      <c r="AA55">
        <f t="shared" si="3"/>
        <v>0.19418605498321292</v>
      </c>
      <c r="AB55">
        <f t="shared" ca="1" si="4"/>
        <v>0.19418605498321292</v>
      </c>
    </row>
    <row r="56" spans="25:28">
      <c r="Y56">
        <v>1.3</v>
      </c>
      <c r="Z56">
        <f t="shared" ca="1" si="2"/>
        <v>834.95732275166517</v>
      </c>
      <c r="AA56">
        <f t="shared" si="3"/>
        <v>0.17136859204780733</v>
      </c>
      <c r="AB56">
        <f t="shared" ca="1" si="4"/>
        <v>0.17136859204780733</v>
      </c>
    </row>
    <row r="57" spans="25:28">
      <c r="Y57">
        <v>1.4</v>
      </c>
      <c r="Z57">
        <f t="shared" ca="1" si="2"/>
        <v>835.58865527102398</v>
      </c>
      <c r="AA57">
        <f t="shared" si="3"/>
        <v>0.14972746563574485</v>
      </c>
      <c r="AB57">
        <f t="shared" ca="1" si="4"/>
        <v>0.14972746563574485</v>
      </c>
    </row>
    <row r="58" spans="25:28">
      <c r="Y58">
        <v>1.5</v>
      </c>
      <c r="Z58">
        <f t="shared" ca="1" si="2"/>
        <v>836.21998779038279</v>
      </c>
      <c r="AA58">
        <f t="shared" si="3"/>
        <v>0.12951759566589172</v>
      </c>
      <c r="AB58">
        <f t="shared" ca="1" si="4"/>
        <v>0.12951759566589172</v>
      </c>
    </row>
    <row r="59" spans="25:28">
      <c r="Y59">
        <v>1.6</v>
      </c>
      <c r="Z59">
        <f t="shared" ca="1" si="2"/>
        <v>836.85132030974171</v>
      </c>
      <c r="AA59">
        <f t="shared" si="3"/>
        <v>0.11092083467945553</v>
      </c>
      <c r="AB59">
        <f t="shared" ca="1" si="4"/>
        <v>0.11092083467945553</v>
      </c>
    </row>
    <row r="60" spans="25:28">
      <c r="Y60">
        <v>1.7</v>
      </c>
      <c r="Z60">
        <f t="shared" ca="1" si="2"/>
        <v>837.48265282910052</v>
      </c>
      <c r="AA60">
        <f t="shared" si="3"/>
        <v>9.4049077376886933E-2</v>
      </c>
      <c r="AB60">
        <f t="shared" ca="1" si="4"/>
        <v>9.4049077376886933E-2</v>
      </c>
    </row>
    <row r="61" spans="25:28">
      <c r="Y61">
        <v>1.8</v>
      </c>
      <c r="Z61">
        <f t="shared" ca="1" si="2"/>
        <v>838.11398534845944</v>
      </c>
      <c r="AA61">
        <f t="shared" si="3"/>
        <v>7.8950158300894135E-2</v>
      </c>
      <c r="AB61">
        <f t="shared" ca="1" si="4"/>
        <v>7.8950158300894135E-2</v>
      </c>
    </row>
    <row r="62" spans="25:28">
      <c r="Y62">
        <v>1.9</v>
      </c>
      <c r="Z62">
        <f t="shared" ca="1" si="2"/>
        <v>838.74531786781824</v>
      </c>
      <c r="AA62">
        <f t="shared" si="3"/>
        <v>6.5615814774676581E-2</v>
      </c>
      <c r="AB62">
        <f t="shared" ca="1" si="4"/>
        <v>6.5615814774676581E-2</v>
      </c>
    </row>
    <row r="63" spans="25:28">
      <c r="Y63">
        <v>2</v>
      </c>
      <c r="Z63">
        <f t="shared" ca="1" si="2"/>
        <v>839.37665038717716</v>
      </c>
      <c r="AA63">
        <f t="shared" si="3"/>
        <v>5.3990966513188049E-2</v>
      </c>
      <c r="AB63" t="str">
        <f t="shared" ca="1" si="4"/>
        <v/>
      </c>
    </row>
    <row r="64" spans="25:28">
      <c r="Y64">
        <v>2.1</v>
      </c>
      <c r="Z64">
        <f t="shared" ca="1" si="2"/>
        <v>840.00798290653597</v>
      </c>
      <c r="AA64">
        <f t="shared" si="3"/>
        <v>4.3983595980427184E-2</v>
      </c>
      <c r="AB64" t="str">
        <f t="shared" ca="1" si="4"/>
        <v/>
      </c>
    </row>
    <row r="65" spans="25:28">
      <c r="Y65">
        <v>2.2000000000000002</v>
      </c>
      <c r="Z65">
        <f t="shared" ca="1" si="2"/>
        <v>840.63931542589478</v>
      </c>
      <c r="AA65">
        <f t="shared" si="3"/>
        <v>3.5474592846231418E-2</v>
      </c>
      <c r="AB65" t="str">
        <f t="shared" ca="1" si="4"/>
        <v/>
      </c>
    </row>
    <row r="66" spans="25:28">
      <c r="Y66">
        <v>2.2999999999999998</v>
      </c>
      <c r="Z66">
        <f t="shared" ca="1" si="2"/>
        <v>841.2706479452537</v>
      </c>
      <c r="AA66">
        <f t="shared" si="3"/>
        <v>2.8327037741601183E-2</v>
      </c>
      <c r="AB66" t="str">
        <f t="shared" ca="1" si="4"/>
        <v/>
      </c>
    </row>
    <row r="67" spans="25:28">
      <c r="Y67">
        <v>2.4</v>
      </c>
      <c r="Z67">
        <f t="shared" ca="1" si="2"/>
        <v>841.90198046461251</v>
      </c>
      <c r="AA67">
        <f t="shared" si="3"/>
        <v>2.2394530294842896E-2</v>
      </c>
      <c r="AB67" t="str">
        <f t="shared" ca="1" si="4"/>
        <v/>
      </c>
    </row>
    <row r="68" spans="25:28">
      <c r="Y68">
        <v>2.5</v>
      </c>
      <c r="Z68">
        <f t="shared" ca="1" si="2"/>
        <v>842.53331298397143</v>
      </c>
      <c r="AA68">
        <f t="shared" si="3"/>
        <v>1.7528300493568537E-2</v>
      </c>
      <c r="AB68" t="str">
        <f t="shared" ca="1" si="4"/>
        <v/>
      </c>
    </row>
    <row r="69" spans="25:28">
      <c r="Y69">
        <v>2.6</v>
      </c>
      <c r="Z69">
        <f t="shared" ca="1" si="2"/>
        <v>843.16464550333023</v>
      </c>
      <c r="AA69">
        <f t="shared" si="3"/>
        <v>1.3582969233685611E-2</v>
      </c>
      <c r="AB69" t="str">
        <f t="shared" ca="1" si="4"/>
        <v/>
      </c>
    </row>
    <row r="70" spans="25:28">
      <c r="Y70">
        <v>2.7</v>
      </c>
      <c r="Z70">
        <f t="shared" ca="1" si="2"/>
        <v>843.79597802268916</v>
      </c>
      <c r="AA70">
        <f t="shared" si="3"/>
        <v>1.042093481442259E-2</v>
      </c>
      <c r="AB70" t="str">
        <f t="shared" ca="1" si="4"/>
        <v/>
      </c>
    </row>
    <row r="71" spans="25:28">
      <c r="Y71">
        <v>2.8</v>
      </c>
      <c r="Z71">
        <f t="shared" ca="1" si="2"/>
        <v>844.42731054204796</v>
      </c>
      <c r="AA71">
        <f t="shared" si="3"/>
        <v>7.9154515829799668E-3</v>
      </c>
      <c r="AB71" t="str">
        <f t="shared" ca="1" si="4"/>
        <v/>
      </c>
    </row>
    <row r="72" spans="25:28">
      <c r="Y72">
        <v>2.9</v>
      </c>
      <c r="Z72">
        <f t="shared" ca="1" si="2"/>
        <v>845.05864306140677</v>
      </c>
      <c r="AA72">
        <f t="shared" si="3"/>
        <v>5.9525324197758529E-3</v>
      </c>
      <c r="AB72" t="str">
        <f t="shared" ca="1" si="4"/>
        <v/>
      </c>
    </row>
    <row r="73" spans="25:28">
      <c r="Y73">
        <v>3</v>
      </c>
      <c r="Z73">
        <f t="shared" ca="1" si="2"/>
        <v>845.68997558076569</v>
      </c>
      <c r="AA73">
        <f t="shared" si="3"/>
        <v>4.4318484119380067E-3</v>
      </c>
      <c r="AB73" t="str">
        <f t="shared" ca="1" si="4"/>
        <v/>
      </c>
    </row>
  </sheetData>
  <mergeCells count="6">
    <mergeCell ref="B1:I1"/>
    <mergeCell ref="Y2:Z2"/>
    <mergeCell ref="B3:I3"/>
    <mergeCell ref="L3:U3"/>
    <mergeCell ref="B5:D5"/>
    <mergeCell ref="F5:I5"/>
  </mergeCells>
  <conditionalFormatting sqref="B15:C15">
    <cfRule type="expression" dxfId="12" priority="12" stopIfTrue="1">
      <formula>$B$2=B$4</formula>
    </cfRule>
  </conditionalFormatting>
  <conditionalFormatting sqref="I15:I16">
    <cfRule type="expression" dxfId="11" priority="11" stopIfTrue="1">
      <formula>$B$2=$I4</formula>
    </cfRule>
  </conditionalFormatting>
  <conditionalFormatting sqref="L5:U35">
    <cfRule type="expression" dxfId="10" priority="9" stopIfTrue="1">
      <formula>ABS(ROUND($W$15,2))=($K5+L$4)</formula>
    </cfRule>
    <cfRule type="expression" dxfId="9" priority="10" stopIfTrue="1">
      <formula>ABS(ROUND($W$16,2))=($K5+L$4)</formula>
    </cfRule>
  </conditionalFormatting>
  <conditionalFormatting sqref="G15">
    <cfRule type="expression" dxfId="8" priority="8" stopIfTrue="1">
      <formula>$B$2=$G$4</formula>
    </cfRule>
  </conditionalFormatting>
  <conditionalFormatting sqref="F15">
    <cfRule type="expression" dxfId="7" priority="7" stopIfTrue="1">
      <formula>$B$2=$F$4</formula>
    </cfRule>
  </conditionalFormatting>
  <conditionalFormatting sqref="D15:D16">
    <cfRule type="expression" dxfId="6" priority="6" stopIfTrue="1">
      <formula>$B$2=$D$4</formula>
    </cfRule>
  </conditionalFormatting>
  <conditionalFormatting sqref="H15:H16">
    <cfRule type="expression" dxfId="5" priority="5" stopIfTrue="1">
      <formula>$B$2=$H$4</formula>
    </cfRule>
  </conditionalFormatting>
  <conditionalFormatting sqref="B16">
    <cfRule type="expression" dxfId="4" priority="4" stopIfTrue="1">
      <formula>$B$2=$B$4</formula>
    </cfRule>
  </conditionalFormatting>
  <conditionalFormatting sqref="C16">
    <cfRule type="expression" dxfId="3" priority="3" stopIfTrue="1">
      <formula>$B$2=$C$4</formula>
    </cfRule>
  </conditionalFormatting>
  <conditionalFormatting sqref="F16">
    <cfRule type="expression" dxfId="2" priority="2" stopIfTrue="1">
      <formula>$B$2=$F$4</formula>
    </cfRule>
  </conditionalFormatting>
  <conditionalFormatting sqref="G16">
    <cfRule type="expression" dxfId="1" priority="1" stopIfTrue="1">
      <formula>$B$2=$G$4</formula>
    </cfRule>
  </conditionalFormatting>
  <pageMargins left="0.7" right="0.7" top="0.75" bottom="0.75" header="0.3" footer="0.3"/>
  <pageSetup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79"/>
  <sheetViews>
    <sheetView workbookViewId="0">
      <selection activeCell="H1" sqref="H1:H1048576"/>
    </sheetView>
  </sheetViews>
  <sheetFormatPr defaultRowHeight="15"/>
  <cols>
    <col min="1" max="1" width="15.7109375" bestFit="1" customWidth="1"/>
    <col min="2" max="2" width="9.5703125" bestFit="1" customWidth="1"/>
    <col min="3" max="3" width="12.5703125" bestFit="1" customWidth="1"/>
  </cols>
  <sheetData>
    <row r="1" spans="1:20" ht="18">
      <c r="A1" s="192" t="s">
        <v>240</v>
      </c>
      <c r="B1" s="192"/>
      <c r="C1" s="192"/>
      <c r="D1" s="192"/>
      <c r="E1" s="192"/>
      <c r="F1" s="192"/>
      <c r="G1" s="192"/>
      <c r="H1" s="99"/>
      <c r="I1" s="99"/>
      <c r="J1" s="99"/>
      <c r="K1" s="99"/>
    </row>
    <row r="2" spans="1:20" ht="18">
      <c r="A2" s="100"/>
      <c r="B2" s="199" t="s">
        <v>241</v>
      </c>
      <c r="C2" s="199"/>
      <c r="D2" s="101"/>
      <c r="E2" s="100"/>
      <c r="F2" s="100"/>
      <c r="G2" s="100"/>
      <c r="H2" s="100"/>
      <c r="I2" s="100"/>
      <c r="J2" s="100"/>
      <c r="K2" s="100"/>
      <c r="Q2" s="89"/>
      <c r="R2" s="89"/>
      <c r="S2" s="89"/>
      <c r="T2" s="89"/>
    </row>
    <row r="3" spans="1:20" ht="15.75">
      <c r="A3" s="102" t="s">
        <v>216</v>
      </c>
      <c r="B3" s="103" t="s">
        <v>242</v>
      </c>
      <c r="C3" s="103" t="s">
        <v>185</v>
      </c>
      <c r="D3" s="103" t="s">
        <v>219</v>
      </c>
      <c r="H3" s="200" t="s">
        <v>243</v>
      </c>
      <c r="I3" s="200"/>
      <c r="J3" s="200"/>
      <c r="K3" s="200"/>
      <c r="L3" s="200"/>
      <c r="M3" s="200"/>
    </row>
    <row r="4" spans="1:20">
      <c r="A4" s="104" t="s">
        <v>228</v>
      </c>
      <c r="B4" s="120">
        <v>12</v>
      </c>
      <c r="C4" s="121">
        <v>25</v>
      </c>
      <c r="D4" s="127" t="s">
        <v>244</v>
      </c>
      <c r="G4" s="105"/>
      <c r="H4" s="201" t="s">
        <v>245</v>
      </c>
      <c r="I4" s="201"/>
      <c r="J4" s="201"/>
      <c r="K4" s="201"/>
      <c r="L4" s="201"/>
      <c r="M4" s="201"/>
    </row>
    <row r="5" spans="1:20">
      <c r="A5" s="79" t="s">
        <v>246</v>
      </c>
      <c r="B5" s="122">
        <v>22.84</v>
      </c>
      <c r="C5" s="123">
        <v>0.4</v>
      </c>
      <c r="D5" s="124"/>
      <c r="G5" s="202" t="s">
        <v>247</v>
      </c>
      <c r="H5" s="106">
        <v>0.8</v>
      </c>
      <c r="I5" s="106">
        <v>0.9</v>
      </c>
      <c r="J5" s="106">
        <v>0.95</v>
      </c>
      <c r="K5" s="106">
        <v>0.98</v>
      </c>
      <c r="L5" s="107">
        <v>0.99</v>
      </c>
      <c r="M5" s="108">
        <v>0.999</v>
      </c>
    </row>
    <row r="6" spans="1:20">
      <c r="A6" s="79" t="s">
        <v>233</v>
      </c>
      <c r="B6" s="125">
        <v>0.95</v>
      </c>
      <c r="C6" s="128">
        <f>ABS(TDIST(SQRT(C4)*C8/C5,C4-1,C11)-1)</f>
        <v>0.96611148933741253</v>
      </c>
      <c r="D6" s="124"/>
      <c r="G6" s="203"/>
      <c r="H6" s="177" t="s">
        <v>248</v>
      </c>
      <c r="I6" s="201"/>
      <c r="J6" s="201"/>
      <c r="K6" s="201"/>
      <c r="L6" s="201"/>
      <c r="M6" s="201"/>
    </row>
    <row r="7" spans="1:20" ht="15.75">
      <c r="A7" s="109" t="s">
        <v>229</v>
      </c>
      <c r="B7" s="110">
        <v>826.75</v>
      </c>
      <c r="C7" s="111">
        <v>31.2</v>
      </c>
      <c r="D7" s="112"/>
      <c r="E7" s="113"/>
      <c r="F7" s="113"/>
      <c r="G7" s="203"/>
      <c r="H7" s="103">
        <v>0.1</v>
      </c>
      <c r="I7" s="103">
        <v>0.05</v>
      </c>
      <c r="J7" s="103">
        <v>2.5000000000000001E-2</v>
      </c>
      <c r="K7" s="103">
        <v>0.01</v>
      </c>
      <c r="L7" s="103">
        <v>5.0000000000000001E-3</v>
      </c>
      <c r="M7" s="105">
        <v>5.0000000000000001E-4</v>
      </c>
    </row>
    <row r="8" spans="1:20" ht="15.75">
      <c r="A8" s="114" t="s">
        <v>226</v>
      </c>
      <c r="B8" s="129">
        <f>($B$12*$B$5/SQRT($B$4))</f>
        <v>14.511843649600269</v>
      </c>
      <c r="C8" s="123">
        <v>0.18</v>
      </c>
      <c r="D8" s="124"/>
      <c r="E8" s="113"/>
      <c r="F8" s="113"/>
      <c r="G8" s="203"/>
      <c r="H8" s="177" t="s">
        <v>249</v>
      </c>
      <c r="I8" s="201"/>
      <c r="J8" s="201"/>
      <c r="K8" s="201"/>
      <c r="L8" s="201"/>
      <c r="M8" s="201"/>
    </row>
    <row r="9" spans="1:20" ht="15.75">
      <c r="A9" s="114" t="s">
        <v>250</v>
      </c>
      <c r="B9" s="130">
        <f>B7-B8</f>
        <v>812.23815635039978</v>
      </c>
      <c r="C9" s="132">
        <f>C7-C8</f>
        <v>31.02</v>
      </c>
      <c r="D9" s="79"/>
      <c r="E9" s="113"/>
      <c r="F9" s="113"/>
      <c r="G9" s="204"/>
      <c r="H9" s="103">
        <v>0.2</v>
      </c>
      <c r="I9" s="103">
        <v>0.1</v>
      </c>
      <c r="J9" s="103">
        <v>0.05</v>
      </c>
      <c r="K9" s="103">
        <v>0.02</v>
      </c>
      <c r="L9" s="103">
        <v>0.01</v>
      </c>
      <c r="M9" s="105">
        <v>1E-3</v>
      </c>
    </row>
    <row r="10" spans="1:20">
      <c r="A10" s="114" t="s">
        <v>251</v>
      </c>
      <c r="B10" s="131">
        <f>B7+B8</f>
        <v>841.26184364960022</v>
      </c>
      <c r="C10" s="133">
        <f>C7+C8</f>
        <v>31.38</v>
      </c>
      <c r="D10" s="79"/>
      <c r="G10" s="115">
        <v>1</v>
      </c>
      <c r="H10" s="135">
        <f t="shared" ref="H10:M25" si="0">ROUND(TINV(H$9,$G10),3)</f>
        <v>3.0779999999999998</v>
      </c>
      <c r="I10" s="135">
        <f t="shared" si="0"/>
        <v>6.3140000000000001</v>
      </c>
      <c r="J10" s="135">
        <f t="shared" si="0"/>
        <v>12.706</v>
      </c>
      <c r="K10" s="135">
        <f t="shared" si="0"/>
        <v>31.821000000000002</v>
      </c>
      <c r="L10" s="135">
        <f t="shared" si="0"/>
        <v>63.656999999999996</v>
      </c>
      <c r="M10" s="136">
        <f t="shared" si="0"/>
        <v>636.61900000000003</v>
      </c>
    </row>
    <row r="11" spans="1:20" ht="15.75" thickBot="1">
      <c r="A11" s="114" t="s">
        <v>234</v>
      </c>
      <c r="B11" s="126">
        <v>2</v>
      </c>
      <c r="C11" s="121">
        <v>2</v>
      </c>
      <c r="D11" s="120"/>
      <c r="G11" s="115">
        <v>2</v>
      </c>
      <c r="H11" s="137">
        <f>ROUND(TINV(H$9,$G11),3)</f>
        <v>1.8859999999999999</v>
      </c>
      <c r="I11" s="137">
        <f t="shared" si="0"/>
        <v>2.92</v>
      </c>
      <c r="J11" s="137">
        <f t="shared" si="0"/>
        <v>4.3029999999999999</v>
      </c>
      <c r="K11" s="137">
        <f t="shared" si="0"/>
        <v>6.9649999999999999</v>
      </c>
      <c r="L11" s="137">
        <f t="shared" si="0"/>
        <v>9.9250000000000007</v>
      </c>
      <c r="M11" s="138">
        <f t="shared" si="0"/>
        <v>31.599</v>
      </c>
    </row>
    <row r="12" spans="1:20" ht="17.25" thickTop="1" thickBot="1">
      <c r="A12" s="114" t="s">
        <v>252</v>
      </c>
      <c r="B12" s="116">
        <f>TINV((1-B$6)/B$11*2,B$4-1)</f>
        <v>2.2009851587218412</v>
      </c>
      <c r="C12" s="129">
        <f>ROUND(TINV((1-C$6)/C$11*2,C$4-1),3)</f>
        <v>2.25</v>
      </c>
      <c r="D12" s="134"/>
      <c r="G12" s="115">
        <v>3</v>
      </c>
      <c r="H12" s="137">
        <f t="shared" si="0"/>
        <v>1.6379999999999999</v>
      </c>
      <c r="I12" s="137">
        <f t="shared" si="0"/>
        <v>2.3530000000000002</v>
      </c>
      <c r="J12" s="137">
        <f t="shared" si="0"/>
        <v>3.1819999999999999</v>
      </c>
      <c r="K12" s="137">
        <f t="shared" si="0"/>
        <v>4.5410000000000004</v>
      </c>
      <c r="L12" s="137">
        <f t="shared" si="0"/>
        <v>5.8410000000000002</v>
      </c>
      <c r="M12" s="138">
        <f t="shared" si="0"/>
        <v>12.923999999999999</v>
      </c>
    </row>
    <row r="13" spans="1:20" ht="16.5" thickTop="1">
      <c r="A13" s="71"/>
      <c r="B13" s="71"/>
      <c r="C13" s="71"/>
      <c r="D13" s="113"/>
      <c r="G13" s="115">
        <v>4</v>
      </c>
      <c r="H13" s="137">
        <f t="shared" si="0"/>
        <v>1.5329999999999999</v>
      </c>
      <c r="I13" s="137">
        <f t="shared" si="0"/>
        <v>2.1320000000000001</v>
      </c>
      <c r="J13" s="137">
        <f t="shared" si="0"/>
        <v>2.7759999999999998</v>
      </c>
      <c r="K13" s="137">
        <f t="shared" si="0"/>
        <v>3.7469999999999999</v>
      </c>
      <c r="L13" s="137">
        <f t="shared" si="0"/>
        <v>4.6040000000000001</v>
      </c>
      <c r="M13" s="138">
        <f t="shared" si="0"/>
        <v>8.61</v>
      </c>
    </row>
    <row r="14" spans="1:20">
      <c r="G14" s="115">
        <v>5</v>
      </c>
      <c r="H14" s="137">
        <f t="shared" si="0"/>
        <v>1.476</v>
      </c>
      <c r="I14" s="137">
        <f t="shared" si="0"/>
        <v>2.0150000000000001</v>
      </c>
      <c r="J14" s="137">
        <f t="shared" si="0"/>
        <v>2.5710000000000002</v>
      </c>
      <c r="K14" s="137">
        <f t="shared" si="0"/>
        <v>3.3650000000000002</v>
      </c>
      <c r="L14" s="137">
        <f t="shared" si="0"/>
        <v>4.032</v>
      </c>
      <c r="M14" s="138">
        <f t="shared" si="0"/>
        <v>6.8689999999999998</v>
      </c>
    </row>
    <row r="15" spans="1:20">
      <c r="A15" s="205" t="s">
        <v>178</v>
      </c>
      <c r="B15" s="206"/>
      <c r="C15" s="117"/>
      <c r="G15" s="118">
        <v>6</v>
      </c>
      <c r="H15" s="137">
        <f t="shared" si="0"/>
        <v>1.44</v>
      </c>
      <c r="I15" s="137">
        <f t="shared" si="0"/>
        <v>1.9430000000000001</v>
      </c>
      <c r="J15" s="137">
        <f t="shared" si="0"/>
        <v>2.4470000000000001</v>
      </c>
      <c r="K15" s="137">
        <f t="shared" si="0"/>
        <v>3.1429999999999998</v>
      </c>
      <c r="L15" s="137">
        <f t="shared" si="0"/>
        <v>3.7069999999999999</v>
      </c>
      <c r="M15" s="138">
        <f t="shared" si="0"/>
        <v>5.9589999999999996</v>
      </c>
    </row>
    <row r="16" spans="1:20">
      <c r="A16" s="207" t="s">
        <v>97</v>
      </c>
      <c r="B16" s="207"/>
      <c r="C16" s="117"/>
      <c r="G16" s="119">
        <v>7</v>
      </c>
      <c r="H16" s="137">
        <f t="shared" si="0"/>
        <v>1.415</v>
      </c>
      <c r="I16" s="137">
        <f t="shared" si="0"/>
        <v>1.895</v>
      </c>
      <c r="J16" s="137">
        <f t="shared" si="0"/>
        <v>2.3650000000000002</v>
      </c>
      <c r="K16" s="137">
        <f t="shared" si="0"/>
        <v>2.9980000000000002</v>
      </c>
      <c r="L16" s="137">
        <f t="shared" si="0"/>
        <v>3.4990000000000001</v>
      </c>
      <c r="M16" s="138">
        <f t="shared" si="0"/>
        <v>5.4080000000000004</v>
      </c>
    </row>
    <row r="17" spans="1:13">
      <c r="A17" s="208" t="s">
        <v>179</v>
      </c>
      <c r="B17" s="208"/>
      <c r="C17" s="117"/>
      <c r="G17" s="115">
        <v>8</v>
      </c>
      <c r="H17" s="137">
        <f t="shared" si="0"/>
        <v>1.397</v>
      </c>
      <c r="I17" s="137">
        <f t="shared" si="0"/>
        <v>1.86</v>
      </c>
      <c r="J17" s="137">
        <f t="shared" si="0"/>
        <v>2.306</v>
      </c>
      <c r="K17" s="137">
        <f t="shared" si="0"/>
        <v>2.8959999999999999</v>
      </c>
      <c r="L17" s="137">
        <f t="shared" si="0"/>
        <v>3.355</v>
      </c>
      <c r="M17" s="138">
        <f t="shared" si="0"/>
        <v>5.0410000000000004</v>
      </c>
    </row>
    <row r="18" spans="1:13">
      <c r="A18" s="209" t="s">
        <v>253</v>
      </c>
      <c r="B18" s="209"/>
      <c r="C18" s="117"/>
      <c r="G18" s="115">
        <v>9</v>
      </c>
      <c r="H18" s="137">
        <f t="shared" si="0"/>
        <v>1.383</v>
      </c>
      <c r="I18" s="137">
        <f t="shared" si="0"/>
        <v>1.833</v>
      </c>
      <c r="J18" s="137">
        <f t="shared" si="0"/>
        <v>2.262</v>
      </c>
      <c r="K18" s="137">
        <f t="shared" si="0"/>
        <v>2.8210000000000002</v>
      </c>
      <c r="L18" s="137">
        <f t="shared" si="0"/>
        <v>3.25</v>
      </c>
      <c r="M18" s="138">
        <f t="shared" si="0"/>
        <v>4.7809999999999997</v>
      </c>
    </row>
    <row r="19" spans="1:13">
      <c r="A19" s="210" t="s">
        <v>254</v>
      </c>
      <c r="B19" s="210"/>
      <c r="C19" s="117"/>
      <c r="G19" s="115">
        <v>10</v>
      </c>
      <c r="H19" s="137">
        <f t="shared" si="0"/>
        <v>1.3720000000000001</v>
      </c>
      <c r="I19" s="137">
        <f t="shared" si="0"/>
        <v>1.8120000000000001</v>
      </c>
      <c r="J19" s="137">
        <f t="shared" si="0"/>
        <v>2.2280000000000002</v>
      </c>
      <c r="K19" s="137">
        <f t="shared" si="0"/>
        <v>2.7639999999999998</v>
      </c>
      <c r="L19" s="137">
        <f t="shared" si="0"/>
        <v>3.169</v>
      </c>
      <c r="M19" s="138">
        <f t="shared" si="0"/>
        <v>4.5869999999999997</v>
      </c>
    </row>
    <row r="20" spans="1:13">
      <c r="A20" s="198" t="s">
        <v>181</v>
      </c>
      <c r="B20" s="198"/>
      <c r="C20" s="117"/>
      <c r="G20" s="115">
        <v>11</v>
      </c>
      <c r="H20" s="137">
        <f t="shared" si="0"/>
        <v>1.363</v>
      </c>
      <c r="I20" s="137">
        <f t="shared" si="0"/>
        <v>1.796</v>
      </c>
      <c r="J20" s="137">
        <f t="shared" si="0"/>
        <v>2.2010000000000001</v>
      </c>
      <c r="K20" s="137">
        <f t="shared" si="0"/>
        <v>2.718</v>
      </c>
      <c r="L20" s="137">
        <f t="shared" si="0"/>
        <v>3.1059999999999999</v>
      </c>
      <c r="M20" s="138">
        <f t="shared" si="0"/>
        <v>4.4370000000000003</v>
      </c>
    </row>
    <row r="21" spans="1:13">
      <c r="G21" s="115">
        <v>12</v>
      </c>
      <c r="H21" s="137">
        <f t="shared" si="0"/>
        <v>1.3560000000000001</v>
      </c>
      <c r="I21" s="137">
        <f t="shared" si="0"/>
        <v>1.782</v>
      </c>
      <c r="J21" s="137">
        <f t="shared" si="0"/>
        <v>2.1789999999999998</v>
      </c>
      <c r="K21" s="137">
        <f t="shared" si="0"/>
        <v>2.681</v>
      </c>
      <c r="L21" s="137">
        <f t="shared" si="0"/>
        <v>3.0550000000000002</v>
      </c>
      <c r="M21" s="138">
        <f t="shared" si="0"/>
        <v>4.3179999999999996</v>
      </c>
    </row>
    <row r="22" spans="1:13">
      <c r="G22" s="115">
        <v>13</v>
      </c>
      <c r="H22" s="137">
        <f t="shared" si="0"/>
        <v>1.35</v>
      </c>
      <c r="I22" s="137">
        <f t="shared" si="0"/>
        <v>1.7709999999999999</v>
      </c>
      <c r="J22" s="137">
        <f t="shared" si="0"/>
        <v>2.16</v>
      </c>
      <c r="K22" s="137">
        <f t="shared" si="0"/>
        <v>2.65</v>
      </c>
      <c r="L22" s="137">
        <f t="shared" si="0"/>
        <v>3.012</v>
      </c>
      <c r="M22" s="138">
        <f t="shared" si="0"/>
        <v>4.2210000000000001</v>
      </c>
    </row>
    <row r="23" spans="1:13">
      <c r="G23" s="115">
        <v>14</v>
      </c>
      <c r="H23" s="137">
        <f t="shared" si="0"/>
        <v>1.345</v>
      </c>
      <c r="I23" s="137">
        <f t="shared" si="0"/>
        <v>1.7609999999999999</v>
      </c>
      <c r="J23" s="137">
        <f t="shared" si="0"/>
        <v>2.145</v>
      </c>
      <c r="K23" s="137">
        <f t="shared" si="0"/>
        <v>2.6240000000000001</v>
      </c>
      <c r="L23" s="137">
        <f t="shared" si="0"/>
        <v>2.9769999999999999</v>
      </c>
      <c r="M23" s="138">
        <f t="shared" si="0"/>
        <v>4.1399999999999997</v>
      </c>
    </row>
    <row r="24" spans="1:13">
      <c r="G24" s="115">
        <v>15</v>
      </c>
      <c r="H24" s="137">
        <f t="shared" si="0"/>
        <v>1.341</v>
      </c>
      <c r="I24" s="137">
        <f t="shared" si="0"/>
        <v>1.7529999999999999</v>
      </c>
      <c r="J24" s="137">
        <f t="shared" si="0"/>
        <v>2.1309999999999998</v>
      </c>
      <c r="K24" s="137">
        <f t="shared" si="0"/>
        <v>2.6019999999999999</v>
      </c>
      <c r="L24" s="137">
        <f t="shared" si="0"/>
        <v>2.9470000000000001</v>
      </c>
      <c r="M24" s="138">
        <f t="shared" si="0"/>
        <v>4.0730000000000004</v>
      </c>
    </row>
    <row r="25" spans="1:13">
      <c r="G25" s="115">
        <v>16</v>
      </c>
      <c r="H25" s="137">
        <f t="shared" si="0"/>
        <v>1.337</v>
      </c>
      <c r="I25" s="137">
        <f t="shared" si="0"/>
        <v>1.746</v>
      </c>
      <c r="J25" s="137">
        <f t="shared" si="0"/>
        <v>2.12</v>
      </c>
      <c r="K25" s="137">
        <f t="shared" si="0"/>
        <v>2.5830000000000002</v>
      </c>
      <c r="L25" s="137">
        <f t="shared" si="0"/>
        <v>2.9209999999999998</v>
      </c>
      <c r="M25" s="138">
        <f t="shared" si="0"/>
        <v>4.0149999999999997</v>
      </c>
    </row>
    <row r="26" spans="1:13">
      <c r="G26" s="115">
        <v>17</v>
      </c>
      <c r="H26" s="137">
        <f t="shared" ref="H26:M41" si="1">ROUND(TINV(H$9,$G26),3)</f>
        <v>1.333</v>
      </c>
      <c r="I26" s="137">
        <f t="shared" si="1"/>
        <v>1.74</v>
      </c>
      <c r="J26" s="137">
        <f t="shared" si="1"/>
        <v>2.11</v>
      </c>
      <c r="K26" s="137">
        <f t="shared" si="1"/>
        <v>2.5670000000000002</v>
      </c>
      <c r="L26" s="137">
        <f t="shared" si="1"/>
        <v>2.8980000000000001</v>
      </c>
      <c r="M26" s="138">
        <f t="shared" si="1"/>
        <v>3.9649999999999999</v>
      </c>
    </row>
    <row r="27" spans="1:13">
      <c r="G27" s="115">
        <v>18</v>
      </c>
      <c r="H27" s="137">
        <f t="shared" si="1"/>
        <v>1.33</v>
      </c>
      <c r="I27" s="137">
        <f t="shared" si="1"/>
        <v>1.734</v>
      </c>
      <c r="J27" s="137">
        <f t="shared" si="1"/>
        <v>2.101</v>
      </c>
      <c r="K27" s="137">
        <f t="shared" si="1"/>
        <v>2.552</v>
      </c>
      <c r="L27" s="137">
        <f t="shared" si="1"/>
        <v>2.8780000000000001</v>
      </c>
      <c r="M27" s="138">
        <f t="shared" si="1"/>
        <v>3.9220000000000002</v>
      </c>
    </row>
    <row r="28" spans="1:13">
      <c r="G28" s="115">
        <v>19</v>
      </c>
      <c r="H28" s="137">
        <f t="shared" si="1"/>
        <v>1.3280000000000001</v>
      </c>
      <c r="I28" s="137">
        <f t="shared" si="1"/>
        <v>1.7290000000000001</v>
      </c>
      <c r="J28" s="137">
        <f t="shared" si="1"/>
        <v>2.093</v>
      </c>
      <c r="K28" s="137">
        <f t="shared" si="1"/>
        <v>2.5390000000000001</v>
      </c>
      <c r="L28" s="137">
        <f t="shared" si="1"/>
        <v>2.8610000000000002</v>
      </c>
      <c r="M28" s="138">
        <f t="shared" si="1"/>
        <v>3.883</v>
      </c>
    </row>
    <row r="29" spans="1:13">
      <c r="G29" s="115">
        <v>20</v>
      </c>
      <c r="H29" s="137">
        <f t="shared" si="1"/>
        <v>1.325</v>
      </c>
      <c r="I29" s="137">
        <f t="shared" si="1"/>
        <v>1.7250000000000001</v>
      </c>
      <c r="J29" s="137">
        <f t="shared" si="1"/>
        <v>2.0859999999999999</v>
      </c>
      <c r="K29" s="137">
        <f t="shared" si="1"/>
        <v>2.528</v>
      </c>
      <c r="L29" s="137">
        <f t="shared" si="1"/>
        <v>2.8450000000000002</v>
      </c>
      <c r="M29" s="138">
        <f t="shared" si="1"/>
        <v>3.85</v>
      </c>
    </row>
    <row r="30" spans="1:13">
      <c r="G30" s="115">
        <v>21</v>
      </c>
      <c r="H30" s="137">
        <f t="shared" si="1"/>
        <v>1.323</v>
      </c>
      <c r="I30" s="137">
        <f t="shared" si="1"/>
        <v>1.7210000000000001</v>
      </c>
      <c r="J30" s="137">
        <f t="shared" si="1"/>
        <v>2.08</v>
      </c>
      <c r="K30" s="137">
        <f t="shared" si="1"/>
        <v>2.5179999999999998</v>
      </c>
      <c r="L30" s="137">
        <f t="shared" si="1"/>
        <v>2.831</v>
      </c>
      <c r="M30" s="138">
        <f t="shared" si="1"/>
        <v>3.819</v>
      </c>
    </row>
    <row r="31" spans="1:13">
      <c r="G31" s="115">
        <v>22</v>
      </c>
      <c r="H31" s="137">
        <f t="shared" si="1"/>
        <v>1.321</v>
      </c>
      <c r="I31" s="137">
        <f t="shared" si="1"/>
        <v>1.7170000000000001</v>
      </c>
      <c r="J31" s="137">
        <f t="shared" si="1"/>
        <v>2.0739999999999998</v>
      </c>
      <c r="K31" s="137">
        <f t="shared" si="1"/>
        <v>2.508</v>
      </c>
      <c r="L31" s="137">
        <f t="shared" si="1"/>
        <v>2.819</v>
      </c>
      <c r="M31" s="138">
        <f t="shared" si="1"/>
        <v>3.7919999999999998</v>
      </c>
    </row>
    <row r="32" spans="1:13">
      <c r="G32" s="115">
        <v>23</v>
      </c>
      <c r="H32" s="137">
        <f t="shared" si="1"/>
        <v>1.319</v>
      </c>
      <c r="I32" s="137">
        <f t="shared" si="1"/>
        <v>1.714</v>
      </c>
      <c r="J32" s="137">
        <f t="shared" si="1"/>
        <v>2.069</v>
      </c>
      <c r="K32" s="137">
        <f t="shared" si="1"/>
        <v>2.5</v>
      </c>
      <c r="L32" s="137">
        <f t="shared" si="1"/>
        <v>2.8069999999999999</v>
      </c>
      <c r="M32" s="138">
        <f t="shared" si="1"/>
        <v>3.7679999999999998</v>
      </c>
    </row>
    <row r="33" spans="7:13">
      <c r="G33" s="115">
        <v>24</v>
      </c>
      <c r="H33" s="137">
        <f t="shared" si="1"/>
        <v>1.3180000000000001</v>
      </c>
      <c r="I33" s="137">
        <f t="shared" si="1"/>
        <v>1.7110000000000001</v>
      </c>
      <c r="J33" s="137">
        <f t="shared" si="1"/>
        <v>2.0640000000000001</v>
      </c>
      <c r="K33" s="137">
        <f t="shared" si="1"/>
        <v>2.492</v>
      </c>
      <c r="L33" s="137">
        <f t="shared" si="1"/>
        <v>2.7970000000000002</v>
      </c>
      <c r="M33" s="138">
        <f t="shared" si="1"/>
        <v>3.7450000000000001</v>
      </c>
    </row>
    <row r="34" spans="7:13">
      <c r="G34" s="115">
        <v>25</v>
      </c>
      <c r="H34" s="137">
        <f t="shared" si="1"/>
        <v>1.3160000000000001</v>
      </c>
      <c r="I34" s="137">
        <f t="shared" si="1"/>
        <v>1.708</v>
      </c>
      <c r="J34" s="137">
        <f t="shared" si="1"/>
        <v>2.06</v>
      </c>
      <c r="K34" s="137">
        <f t="shared" si="1"/>
        <v>2.4849999999999999</v>
      </c>
      <c r="L34" s="137">
        <f t="shared" si="1"/>
        <v>2.7869999999999999</v>
      </c>
      <c r="M34" s="138">
        <f t="shared" si="1"/>
        <v>3.7250000000000001</v>
      </c>
    </row>
    <row r="35" spans="7:13">
      <c r="G35" s="115">
        <v>26</v>
      </c>
      <c r="H35" s="137">
        <f t="shared" si="1"/>
        <v>1.3149999999999999</v>
      </c>
      <c r="I35" s="137">
        <f t="shared" si="1"/>
        <v>1.706</v>
      </c>
      <c r="J35" s="137">
        <f t="shared" si="1"/>
        <v>2.056</v>
      </c>
      <c r="K35" s="137">
        <f t="shared" si="1"/>
        <v>2.4790000000000001</v>
      </c>
      <c r="L35" s="137">
        <f t="shared" si="1"/>
        <v>2.7789999999999999</v>
      </c>
      <c r="M35" s="138">
        <f t="shared" si="1"/>
        <v>3.7069999999999999</v>
      </c>
    </row>
    <row r="36" spans="7:13">
      <c r="G36" s="115">
        <v>27</v>
      </c>
      <c r="H36" s="137">
        <f t="shared" si="1"/>
        <v>1.3140000000000001</v>
      </c>
      <c r="I36" s="137">
        <f t="shared" si="1"/>
        <v>1.7030000000000001</v>
      </c>
      <c r="J36" s="137">
        <f t="shared" si="1"/>
        <v>2.052</v>
      </c>
      <c r="K36" s="137">
        <f t="shared" si="1"/>
        <v>2.4729999999999999</v>
      </c>
      <c r="L36" s="137">
        <f t="shared" si="1"/>
        <v>2.7709999999999999</v>
      </c>
      <c r="M36" s="138">
        <f t="shared" si="1"/>
        <v>3.69</v>
      </c>
    </row>
    <row r="37" spans="7:13">
      <c r="G37" s="115">
        <v>28</v>
      </c>
      <c r="H37" s="137">
        <f t="shared" si="1"/>
        <v>1.3129999999999999</v>
      </c>
      <c r="I37" s="137">
        <f t="shared" si="1"/>
        <v>1.7010000000000001</v>
      </c>
      <c r="J37" s="137">
        <f t="shared" si="1"/>
        <v>2.048</v>
      </c>
      <c r="K37" s="137">
        <f t="shared" si="1"/>
        <v>2.4670000000000001</v>
      </c>
      <c r="L37" s="137">
        <f t="shared" si="1"/>
        <v>2.7629999999999999</v>
      </c>
      <c r="M37" s="138">
        <f t="shared" si="1"/>
        <v>3.6739999999999999</v>
      </c>
    </row>
    <row r="38" spans="7:13">
      <c r="G38" s="115">
        <v>29</v>
      </c>
      <c r="H38" s="137">
        <f t="shared" si="1"/>
        <v>1.3109999999999999</v>
      </c>
      <c r="I38" s="137">
        <f t="shared" si="1"/>
        <v>1.6990000000000001</v>
      </c>
      <c r="J38" s="137">
        <f t="shared" si="1"/>
        <v>2.0449999999999999</v>
      </c>
      <c r="K38" s="137">
        <f t="shared" si="1"/>
        <v>2.4620000000000002</v>
      </c>
      <c r="L38" s="137">
        <f t="shared" si="1"/>
        <v>2.7559999999999998</v>
      </c>
      <c r="M38" s="138">
        <f t="shared" si="1"/>
        <v>3.6589999999999998</v>
      </c>
    </row>
    <row r="39" spans="7:13">
      <c r="G39" s="115">
        <v>30</v>
      </c>
      <c r="H39" s="137">
        <f t="shared" si="1"/>
        <v>1.31</v>
      </c>
      <c r="I39" s="137">
        <f t="shared" si="1"/>
        <v>1.6970000000000001</v>
      </c>
      <c r="J39" s="137">
        <f t="shared" si="1"/>
        <v>2.0419999999999998</v>
      </c>
      <c r="K39" s="137">
        <f t="shared" si="1"/>
        <v>2.4569999999999999</v>
      </c>
      <c r="L39" s="137">
        <f t="shared" si="1"/>
        <v>2.75</v>
      </c>
      <c r="M39" s="138">
        <f t="shared" si="1"/>
        <v>3.6459999999999999</v>
      </c>
    </row>
    <row r="40" spans="7:13">
      <c r="G40" s="115">
        <v>31</v>
      </c>
      <c r="H40" s="137">
        <f t="shared" si="1"/>
        <v>1.3089999999999999</v>
      </c>
      <c r="I40" s="137">
        <f t="shared" si="1"/>
        <v>1.696</v>
      </c>
      <c r="J40" s="137">
        <f t="shared" si="1"/>
        <v>2.04</v>
      </c>
      <c r="K40" s="137">
        <f t="shared" si="1"/>
        <v>2.4529999999999998</v>
      </c>
      <c r="L40" s="137">
        <f t="shared" si="1"/>
        <v>2.7440000000000002</v>
      </c>
      <c r="M40" s="138">
        <f t="shared" si="1"/>
        <v>3.633</v>
      </c>
    </row>
    <row r="41" spans="7:13">
      <c r="G41" s="115">
        <v>32</v>
      </c>
      <c r="H41" s="137">
        <f t="shared" si="1"/>
        <v>1.3089999999999999</v>
      </c>
      <c r="I41" s="137">
        <f t="shared" si="1"/>
        <v>1.694</v>
      </c>
      <c r="J41" s="137">
        <f t="shared" si="1"/>
        <v>2.0369999999999999</v>
      </c>
      <c r="K41" s="137">
        <f t="shared" si="1"/>
        <v>2.4489999999999998</v>
      </c>
      <c r="L41" s="137">
        <f t="shared" si="1"/>
        <v>2.738</v>
      </c>
      <c r="M41" s="138">
        <f t="shared" si="1"/>
        <v>3.6219999999999999</v>
      </c>
    </row>
    <row r="42" spans="7:13">
      <c r="G42" s="115">
        <v>33</v>
      </c>
      <c r="H42" s="137">
        <f t="shared" ref="H42:M57" si="2">ROUND(TINV(H$9,$G42),3)</f>
        <v>1.3080000000000001</v>
      </c>
      <c r="I42" s="137">
        <f t="shared" si="2"/>
        <v>1.6919999999999999</v>
      </c>
      <c r="J42" s="137">
        <f t="shared" si="2"/>
        <v>2.0350000000000001</v>
      </c>
      <c r="K42" s="137">
        <f t="shared" si="2"/>
        <v>2.4449999999999998</v>
      </c>
      <c r="L42" s="137">
        <f t="shared" si="2"/>
        <v>2.7330000000000001</v>
      </c>
      <c r="M42" s="138">
        <f t="shared" si="2"/>
        <v>3.6110000000000002</v>
      </c>
    </row>
    <row r="43" spans="7:13">
      <c r="G43" s="115">
        <v>34</v>
      </c>
      <c r="H43" s="137">
        <f t="shared" si="2"/>
        <v>1.3069999999999999</v>
      </c>
      <c r="I43" s="137">
        <f t="shared" si="2"/>
        <v>1.6910000000000001</v>
      </c>
      <c r="J43" s="137">
        <f t="shared" si="2"/>
        <v>2.032</v>
      </c>
      <c r="K43" s="137">
        <f t="shared" si="2"/>
        <v>2.4409999999999998</v>
      </c>
      <c r="L43" s="137">
        <f t="shared" si="2"/>
        <v>2.7280000000000002</v>
      </c>
      <c r="M43" s="138">
        <f t="shared" si="2"/>
        <v>3.601</v>
      </c>
    </row>
    <row r="44" spans="7:13">
      <c r="G44" s="115">
        <v>35</v>
      </c>
      <c r="H44" s="137">
        <f t="shared" si="2"/>
        <v>1.306</v>
      </c>
      <c r="I44" s="137">
        <f t="shared" si="2"/>
        <v>1.69</v>
      </c>
      <c r="J44" s="137">
        <f t="shared" si="2"/>
        <v>2.0299999999999998</v>
      </c>
      <c r="K44" s="137">
        <f t="shared" si="2"/>
        <v>2.4380000000000002</v>
      </c>
      <c r="L44" s="137">
        <f t="shared" si="2"/>
        <v>2.7240000000000002</v>
      </c>
      <c r="M44" s="138">
        <f t="shared" si="2"/>
        <v>3.5910000000000002</v>
      </c>
    </row>
    <row r="45" spans="7:13">
      <c r="G45" s="115">
        <v>36</v>
      </c>
      <c r="H45" s="137">
        <f t="shared" si="2"/>
        <v>1.306</v>
      </c>
      <c r="I45" s="137">
        <f t="shared" si="2"/>
        <v>1.6879999999999999</v>
      </c>
      <c r="J45" s="137">
        <f t="shared" si="2"/>
        <v>2.028</v>
      </c>
      <c r="K45" s="137">
        <f t="shared" si="2"/>
        <v>2.4340000000000002</v>
      </c>
      <c r="L45" s="137">
        <f t="shared" si="2"/>
        <v>2.7189999999999999</v>
      </c>
      <c r="M45" s="138">
        <f t="shared" si="2"/>
        <v>3.5819999999999999</v>
      </c>
    </row>
    <row r="46" spans="7:13">
      <c r="G46" s="115">
        <v>37</v>
      </c>
      <c r="H46" s="137">
        <f t="shared" si="2"/>
        <v>1.3049999999999999</v>
      </c>
      <c r="I46" s="137">
        <f t="shared" si="2"/>
        <v>1.6870000000000001</v>
      </c>
      <c r="J46" s="137">
        <f t="shared" si="2"/>
        <v>2.0259999999999998</v>
      </c>
      <c r="K46" s="137">
        <f t="shared" si="2"/>
        <v>2.431</v>
      </c>
      <c r="L46" s="137">
        <f t="shared" si="2"/>
        <v>2.7149999999999999</v>
      </c>
      <c r="M46" s="138">
        <f t="shared" si="2"/>
        <v>3.5739999999999998</v>
      </c>
    </row>
    <row r="47" spans="7:13">
      <c r="G47" s="115">
        <v>38</v>
      </c>
      <c r="H47" s="137">
        <f t="shared" si="2"/>
        <v>1.304</v>
      </c>
      <c r="I47" s="137">
        <f t="shared" si="2"/>
        <v>1.6859999999999999</v>
      </c>
      <c r="J47" s="137">
        <f t="shared" si="2"/>
        <v>2.024</v>
      </c>
      <c r="K47" s="137">
        <f t="shared" si="2"/>
        <v>2.4289999999999998</v>
      </c>
      <c r="L47" s="137">
        <f t="shared" si="2"/>
        <v>2.7120000000000002</v>
      </c>
      <c r="M47" s="138">
        <f t="shared" si="2"/>
        <v>3.5659999999999998</v>
      </c>
    </row>
    <row r="48" spans="7:13">
      <c r="G48" s="115">
        <v>39</v>
      </c>
      <c r="H48" s="137">
        <f t="shared" si="2"/>
        <v>1.304</v>
      </c>
      <c r="I48" s="137">
        <f t="shared" si="2"/>
        <v>1.6850000000000001</v>
      </c>
      <c r="J48" s="137">
        <f t="shared" si="2"/>
        <v>2.0230000000000001</v>
      </c>
      <c r="K48" s="137">
        <f t="shared" si="2"/>
        <v>2.4260000000000002</v>
      </c>
      <c r="L48" s="137">
        <f t="shared" si="2"/>
        <v>2.7080000000000002</v>
      </c>
      <c r="M48" s="138">
        <f t="shared" si="2"/>
        <v>3.5579999999999998</v>
      </c>
    </row>
    <row r="49" spans="7:13">
      <c r="G49" s="115">
        <v>40</v>
      </c>
      <c r="H49" s="137">
        <f t="shared" si="2"/>
        <v>1.3029999999999999</v>
      </c>
      <c r="I49" s="137">
        <f t="shared" si="2"/>
        <v>1.6839999999999999</v>
      </c>
      <c r="J49" s="137">
        <f t="shared" si="2"/>
        <v>2.0209999999999999</v>
      </c>
      <c r="K49" s="137">
        <f t="shared" si="2"/>
        <v>2.423</v>
      </c>
      <c r="L49" s="137">
        <f t="shared" si="2"/>
        <v>2.7040000000000002</v>
      </c>
      <c r="M49" s="138">
        <f t="shared" si="2"/>
        <v>3.5510000000000002</v>
      </c>
    </row>
    <row r="50" spans="7:13">
      <c r="G50" s="115">
        <v>41</v>
      </c>
      <c r="H50" s="137">
        <f t="shared" si="2"/>
        <v>1.3029999999999999</v>
      </c>
      <c r="I50" s="137">
        <f t="shared" si="2"/>
        <v>1.6830000000000001</v>
      </c>
      <c r="J50" s="137">
        <f t="shared" si="2"/>
        <v>2.02</v>
      </c>
      <c r="K50" s="137">
        <f t="shared" si="2"/>
        <v>2.4209999999999998</v>
      </c>
      <c r="L50" s="137">
        <f t="shared" si="2"/>
        <v>2.7010000000000001</v>
      </c>
      <c r="M50" s="138">
        <f t="shared" si="2"/>
        <v>3.544</v>
      </c>
    </row>
    <row r="51" spans="7:13">
      <c r="G51" s="115">
        <v>42</v>
      </c>
      <c r="H51" s="137">
        <f t="shared" si="2"/>
        <v>1.302</v>
      </c>
      <c r="I51" s="137">
        <f t="shared" si="2"/>
        <v>1.6819999999999999</v>
      </c>
      <c r="J51" s="137">
        <f t="shared" si="2"/>
        <v>2.0179999999999998</v>
      </c>
      <c r="K51" s="137">
        <f t="shared" si="2"/>
        <v>2.4180000000000001</v>
      </c>
      <c r="L51" s="137">
        <f t="shared" si="2"/>
        <v>2.698</v>
      </c>
      <c r="M51" s="138">
        <f t="shared" si="2"/>
        <v>3.5379999999999998</v>
      </c>
    </row>
    <row r="52" spans="7:13">
      <c r="G52" s="115">
        <v>43</v>
      </c>
      <c r="H52" s="137">
        <f t="shared" si="2"/>
        <v>1.302</v>
      </c>
      <c r="I52" s="137">
        <f t="shared" si="2"/>
        <v>1.681</v>
      </c>
      <c r="J52" s="137">
        <f t="shared" si="2"/>
        <v>2.0169999999999999</v>
      </c>
      <c r="K52" s="137">
        <f t="shared" si="2"/>
        <v>2.4159999999999999</v>
      </c>
      <c r="L52" s="137">
        <f t="shared" si="2"/>
        <v>2.6949999999999998</v>
      </c>
      <c r="M52" s="138">
        <f t="shared" si="2"/>
        <v>3.532</v>
      </c>
    </row>
    <row r="53" spans="7:13">
      <c r="G53" s="115">
        <v>44</v>
      </c>
      <c r="H53" s="137">
        <f t="shared" si="2"/>
        <v>1.3009999999999999</v>
      </c>
      <c r="I53" s="137">
        <f t="shared" si="2"/>
        <v>1.68</v>
      </c>
      <c r="J53" s="137">
        <f t="shared" si="2"/>
        <v>2.0150000000000001</v>
      </c>
      <c r="K53" s="137">
        <f t="shared" si="2"/>
        <v>2.4140000000000001</v>
      </c>
      <c r="L53" s="137">
        <f t="shared" si="2"/>
        <v>2.6920000000000002</v>
      </c>
      <c r="M53" s="138">
        <f t="shared" si="2"/>
        <v>3.5259999999999998</v>
      </c>
    </row>
    <row r="54" spans="7:13">
      <c r="G54" s="115">
        <v>45</v>
      </c>
      <c r="H54" s="137">
        <f t="shared" si="2"/>
        <v>1.3009999999999999</v>
      </c>
      <c r="I54" s="137">
        <f t="shared" si="2"/>
        <v>1.679</v>
      </c>
      <c r="J54" s="137">
        <f t="shared" si="2"/>
        <v>2.0139999999999998</v>
      </c>
      <c r="K54" s="137">
        <f t="shared" si="2"/>
        <v>2.4119999999999999</v>
      </c>
      <c r="L54" s="137">
        <f t="shared" si="2"/>
        <v>2.69</v>
      </c>
      <c r="M54" s="138">
        <f t="shared" si="2"/>
        <v>3.52</v>
      </c>
    </row>
    <row r="55" spans="7:13">
      <c r="G55" s="115">
        <v>46</v>
      </c>
      <c r="H55" s="137">
        <f t="shared" si="2"/>
        <v>1.3</v>
      </c>
      <c r="I55" s="137">
        <f t="shared" si="2"/>
        <v>1.679</v>
      </c>
      <c r="J55" s="137">
        <f t="shared" si="2"/>
        <v>2.0129999999999999</v>
      </c>
      <c r="K55" s="137">
        <f t="shared" si="2"/>
        <v>2.41</v>
      </c>
      <c r="L55" s="137">
        <f t="shared" si="2"/>
        <v>2.6869999999999998</v>
      </c>
      <c r="M55" s="138">
        <f t="shared" si="2"/>
        <v>3.5150000000000001</v>
      </c>
    </row>
    <row r="56" spans="7:13">
      <c r="G56" s="115">
        <v>47</v>
      </c>
      <c r="H56" s="137">
        <f t="shared" si="2"/>
        <v>1.3</v>
      </c>
      <c r="I56" s="137">
        <f t="shared" si="2"/>
        <v>1.6779999999999999</v>
      </c>
      <c r="J56" s="137">
        <f t="shared" si="2"/>
        <v>2.012</v>
      </c>
      <c r="K56" s="137">
        <f t="shared" si="2"/>
        <v>2.4079999999999999</v>
      </c>
      <c r="L56" s="137">
        <f t="shared" si="2"/>
        <v>2.6850000000000001</v>
      </c>
      <c r="M56" s="138">
        <f t="shared" si="2"/>
        <v>3.51</v>
      </c>
    </row>
    <row r="57" spans="7:13">
      <c r="G57" s="115">
        <v>48</v>
      </c>
      <c r="H57" s="137">
        <f t="shared" si="2"/>
        <v>1.2989999999999999</v>
      </c>
      <c r="I57" s="137">
        <f t="shared" si="2"/>
        <v>1.677</v>
      </c>
      <c r="J57" s="137">
        <f t="shared" si="2"/>
        <v>2.0110000000000001</v>
      </c>
      <c r="K57" s="137">
        <f t="shared" si="2"/>
        <v>2.407</v>
      </c>
      <c r="L57" s="137">
        <f t="shared" si="2"/>
        <v>2.6819999999999999</v>
      </c>
      <c r="M57" s="138">
        <f t="shared" si="2"/>
        <v>3.5049999999999999</v>
      </c>
    </row>
    <row r="58" spans="7:13">
      <c r="G58" s="115">
        <v>49</v>
      </c>
      <c r="H58" s="137">
        <f t="shared" ref="H58:M73" si="3">ROUND(TINV(H$9,$G58),3)</f>
        <v>1.2989999999999999</v>
      </c>
      <c r="I58" s="137">
        <f t="shared" si="3"/>
        <v>1.677</v>
      </c>
      <c r="J58" s="137">
        <f t="shared" si="3"/>
        <v>2.0099999999999998</v>
      </c>
      <c r="K58" s="137">
        <f t="shared" si="3"/>
        <v>2.4049999999999998</v>
      </c>
      <c r="L58" s="137">
        <f t="shared" si="3"/>
        <v>2.68</v>
      </c>
      <c r="M58" s="138">
        <f t="shared" si="3"/>
        <v>3.5</v>
      </c>
    </row>
    <row r="59" spans="7:13">
      <c r="G59" s="115">
        <v>50</v>
      </c>
      <c r="H59" s="137">
        <f t="shared" si="3"/>
        <v>1.2989999999999999</v>
      </c>
      <c r="I59" s="137">
        <f t="shared" si="3"/>
        <v>1.6759999999999999</v>
      </c>
      <c r="J59" s="137">
        <f t="shared" si="3"/>
        <v>2.0089999999999999</v>
      </c>
      <c r="K59" s="137">
        <f t="shared" si="3"/>
        <v>2.403</v>
      </c>
      <c r="L59" s="137">
        <f t="shared" si="3"/>
        <v>2.6779999999999999</v>
      </c>
      <c r="M59" s="138">
        <f t="shared" si="3"/>
        <v>3.496</v>
      </c>
    </row>
    <row r="60" spans="7:13">
      <c r="G60" s="115">
        <v>51</v>
      </c>
      <c r="H60" s="137">
        <f t="shared" si="3"/>
        <v>1.298</v>
      </c>
      <c r="I60" s="137">
        <f t="shared" si="3"/>
        <v>1.675</v>
      </c>
      <c r="J60" s="137">
        <f t="shared" si="3"/>
        <v>2.008</v>
      </c>
      <c r="K60" s="137">
        <f t="shared" si="3"/>
        <v>2.4020000000000001</v>
      </c>
      <c r="L60" s="137">
        <f t="shared" si="3"/>
        <v>2.6760000000000002</v>
      </c>
      <c r="M60" s="138">
        <f t="shared" si="3"/>
        <v>3.492</v>
      </c>
    </row>
    <row r="61" spans="7:13">
      <c r="G61" s="115">
        <v>52</v>
      </c>
      <c r="H61" s="137">
        <f t="shared" si="3"/>
        <v>1.298</v>
      </c>
      <c r="I61" s="137">
        <f t="shared" si="3"/>
        <v>1.675</v>
      </c>
      <c r="J61" s="137">
        <f t="shared" si="3"/>
        <v>2.0070000000000001</v>
      </c>
      <c r="K61" s="137">
        <f t="shared" si="3"/>
        <v>2.4</v>
      </c>
      <c r="L61" s="137">
        <f t="shared" si="3"/>
        <v>2.6739999999999999</v>
      </c>
      <c r="M61" s="138">
        <f t="shared" si="3"/>
        <v>3.488</v>
      </c>
    </row>
    <row r="62" spans="7:13">
      <c r="G62" s="115">
        <v>53</v>
      </c>
      <c r="H62" s="137">
        <f t="shared" si="3"/>
        <v>1.298</v>
      </c>
      <c r="I62" s="137">
        <f t="shared" si="3"/>
        <v>1.6739999999999999</v>
      </c>
      <c r="J62" s="137">
        <f t="shared" si="3"/>
        <v>2.0059999999999998</v>
      </c>
      <c r="K62" s="137">
        <f t="shared" si="3"/>
        <v>2.399</v>
      </c>
      <c r="L62" s="137">
        <f t="shared" si="3"/>
        <v>2.6720000000000002</v>
      </c>
      <c r="M62" s="138">
        <f t="shared" si="3"/>
        <v>3.484</v>
      </c>
    </row>
    <row r="63" spans="7:13">
      <c r="G63" s="115">
        <v>54</v>
      </c>
      <c r="H63" s="137">
        <f t="shared" si="3"/>
        <v>1.2969999999999999</v>
      </c>
      <c r="I63" s="137">
        <f t="shared" si="3"/>
        <v>1.6739999999999999</v>
      </c>
      <c r="J63" s="137">
        <f t="shared" si="3"/>
        <v>2.0049999999999999</v>
      </c>
      <c r="K63" s="137">
        <f t="shared" si="3"/>
        <v>2.3969999999999998</v>
      </c>
      <c r="L63" s="137">
        <f t="shared" si="3"/>
        <v>2.67</v>
      </c>
      <c r="M63" s="138">
        <f t="shared" si="3"/>
        <v>3.48</v>
      </c>
    </row>
    <row r="64" spans="7:13">
      <c r="G64" s="115">
        <v>55</v>
      </c>
      <c r="H64" s="137">
        <f t="shared" si="3"/>
        <v>1.2969999999999999</v>
      </c>
      <c r="I64" s="137">
        <f t="shared" si="3"/>
        <v>1.673</v>
      </c>
      <c r="J64" s="137">
        <f t="shared" si="3"/>
        <v>2.004</v>
      </c>
      <c r="K64" s="137">
        <f t="shared" si="3"/>
        <v>2.3959999999999999</v>
      </c>
      <c r="L64" s="137">
        <f t="shared" si="3"/>
        <v>2.6680000000000001</v>
      </c>
      <c r="M64" s="138">
        <f t="shared" si="3"/>
        <v>3.476</v>
      </c>
    </row>
    <row r="65" spans="7:13">
      <c r="G65" s="115">
        <v>56</v>
      </c>
      <c r="H65" s="137">
        <f t="shared" si="3"/>
        <v>1.2969999999999999</v>
      </c>
      <c r="I65" s="137">
        <f t="shared" si="3"/>
        <v>1.673</v>
      </c>
      <c r="J65" s="137">
        <f t="shared" si="3"/>
        <v>2.0030000000000001</v>
      </c>
      <c r="K65" s="137">
        <f t="shared" si="3"/>
        <v>2.395</v>
      </c>
      <c r="L65" s="137">
        <f t="shared" si="3"/>
        <v>2.6669999999999998</v>
      </c>
      <c r="M65" s="138">
        <f t="shared" si="3"/>
        <v>3.4729999999999999</v>
      </c>
    </row>
    <row r="66" spans="7:13">
      <c r="G66" s="115">
        <v>57</v>
      </c>
      <c r="H66" s="137">
        <f t="shared" si="3"/>
        <v>1.2969999999999999</v>
      </c>
      <c r="I66" s="137">
        <f t="shared" si="3"/>
        <v>1.6719999999999999</v>
      </c>
      <c r="J66" s="137">
        <f t="shared" si="3"/>
        <v>2.0019999999999998</v>
      </c>
      <c r="K66" s="137">
        <f t="shared" si="3"/>
        <v>2.3940000000000001</v>
      </c>
      <c r="L66" s="137">
        <f t="shared" si="3"/>
        <v>2.665</v>
      </c>
      <c r="M66" s="138">
        <f t="shared" si="3"/>
        <v>3.47</v>
      </c>
    </row>
    <row r="67" spans="7:13">
      <c r="G67" s="115">
        <v>58</v>
      </c>
      <c r="H67" s="137">
        <f t="shared" si="3"/>
        <v>1.296</v>
      </c>
      <c r="I67" s="137">
        <f t="shared" si="3"/>
        <v>1.6719999999999999</v>
      </c>
      <c r="J67" s="137">
        <f t="shared" si="3"/>
        <v>2.0019999999999998</v>
      </c>
      <c r="K67" s="137">
        <f t="shared" si="3"/>
        <v>2.3919999999999999</v>
      </c>
      <c r="L67" s="137">
        <f t="shared" si="3"/>
        <v>2.6629999999999998</v>
      </c>
      <c r="M67" s="138">
        <f t="shared" si="3"/>
        <v>3.4660000000000002</v>
      </c>
    </row>
    <row r="68" spans="7:13">
      <c r="G68" s="115">
        <v>59</v>
      </c>
      <c r="H68" s="137">
        <f t="shared" si="3"/>
        <v>1.296</v>
      </c>
      <c r="I68" s="137">
        <f t="shared" si="3"/>
        <v>1.671</v>
      </c>
      <c r="J68" s="137">
        <f t="shared" si="3"/>
        <v>2.0009999999999999</v>
      </c>
      <c r="K68" s="137">
        <f t="shared" si="3"/>
        <v>2.391</v>
      </c>
      <c r="L68" s="137">
        <f t="shared" si="3"/>
        <v>2.6619999999999999</v>
      </c>
      <c r="M68" s="138">
        <f t="shared" si="3"/>
        <v>3.4630000000000001</v>
      </c>
    </row>
    <row r="69" spans="7:13">
      <c r="G69" s="115">
        <v>60</v>
      </c>
      <c r="H69" s="137">
        <f t="shared" si="3"/>
        <v>1.296</v>
      </c>
      <c r="I69" s="137">
        <f t="shared" si="3"/>
        <v>1.671</v>
      </c>
      <c r="J69" s="137">
        <f t="shared" si="3"/>
        <v>2</v>
      </c>
      <c r="K69" s="137">
        <f t="shared" si="3"/>
        <v>2.39</v>
      </c>
      <c r="L69" s="137">
        <f t="shared" si="3"/>
        <v>2.66</v>
      </c>
      <c r="M69" s="138">
        <f t="shared" si="3"/>
        <v>3.46</v>
      </c>
    </row>
    <row r="70" spans="7:13">
      <c r="G70" s="115">
        <v>61</v>
      </c>
      <c r="H70" s="137">
        <f t="shared" si="3"/>
        <v>1.296</v>
      </c>
      <c r="I70" s="137">
        <f t="shared" si="3"/>
        <v>1.67</v>
      </c>
      <c r="J70" s="137">
        <f t="shared" si="3"/>
        <v>2</v>
      </c>
      <c r="K70" s="137">
        <f t="shared" si="3"/>
        <v>2.3889999999999998</v>
      </c>
      <c r="L70" s="137">
        <f t="shared" si="3"/>
        <v>2.6589999999999998</v>
      </c>
      <c r="M70" s="138">
        <f t="shared" si="3"/>
        <v>3.4569999999999999</v>
      </c>
    </row>
    <row r="71" spans="7:13">
      <c r="G71" s="115">
        <v>62</v>
      </c>
      <c r="H71" s="137">
        <f t="shared" si="3"/>
        <v>1.2949999999999999</v>
      </c>
      <c r="I71" s="137">
        <f t="shared" si="3"/>
        <v>1.67</v>
      </c>
      <c r="J71" s="137">
        <f t="shared" si="3"/>
        <v>1.9990000000000001</v>
      </c>
      <c r="K71" s="137">
        <f t="shared" si="3"/>
        <v>2.3879999999999999</v>
      </c>
      <c r="L71" s="137">
        <f t="shared" si="3"/>
        <v>2.657</v>
      </c>
      <c r="M71" s="138">
        <f t="shared" si="3"/>
        <v>3.4540000000000002</v>
      </c>
    </row>
    <row r="72" spans="7:13">
      <c r="G72" s="115">
        <v>63</v>
      </c>
      <c r="H72" s="137">
        <f t="shared" si="3"/>
        <v>1.2949999999999999</v>
      </c>
      <c r="I72" s="137">
        <f t="shared" si="3"/>
        <v>1.669</v>
      </c>
      <c r="J72" s="137">
        <f t="shared" si="3"/>
        <v>1.998</v>
      </c>
      <c r="K72" s="137">
        <f t="shared" si="3"/>
        <v>2.387</v>
      </c>
      <c r="L72" s="137">
        <f t="shared" si="3"/>
        <v>2.6560000000000001</v>
      </c>
      <c r="M72" s="138">
        <f t="shared" si="3"/>
        <v>3.452</v>
      </c>
    </row>
    <row r="73" spans="7:13">
      <c r="G73" s="115">
        <v>64</v>
      </c>
      <c r="H73" s="137">
        <f t="shared" si="3"/>
        <v>1.2949999999999999</v>
      </c>
      <c r="I73" s="137">
        <f t="shared" si="3"/>
        <v>1.669</v>
      </c>
      <c r="J73" s="137">
        <f t="shared" si="3"/>
        <v>1.998</v>
      </c>
      <c r="K73" s="137">
        <f t="shared" si="3"/>
        <v>2.3860000000000001</v>
      </c>
      <c r="L73" s="137">
        <f t="shared" si="3"/>
        <v>2.6549999999999998</v>
      </c>
      <c r="M73" s="138">
        <f t="shared" si="3"/>
        <v>3.4489999999999998</v>
      </c>
    </row>
    <row r="74" spans="7:13">
      <c r="G74" s="115">
        <v>65</v>
      </c>
      <c r="H74" s="137">
        <f t="shared" ref="H74:M79" si="4">ROUND(TINV(H$9,$G74),3)</f>
        <v>1.2949999999999999</v>
      </c>
      <c r="I74" s="137">
        <f t="shared" si="4"/>
        <v>1.669</v>
      </c>
      <c r="J74" s="137">
        <f t="shared" si="4"/>
        <v>1.9970000000000001</v>
      </c>
      <c r="K74" s="137">
        <f t="shared" si="4"/>
        <v>2.3849999999999998</v>
      </c>
      <c r="L74" s="137">
        <f t="shared" si="4"/>
        <v>2.6539999999999999</v>
      </c>
      <c r="M74" s="138">
        <f t="shared" si="4"/>
        <v>3.4470000000000001</v>
      </c>
    </row>
    <row r="75" spans="7:13">
      <c r="G75" s="115">
        <v>66</v>
      </c>
      <c r="H75" s="137">
        <f t="shared" si="4"/>
        <v>1.2949999999999999</v>
      </c>
      <c r="I75" s="137">
        <f t="shared" si="4"/>
        <v>1.6679999999999999</v>
      </c>
      <c r="J75" s="137">
        <f t="shared" si="4"/>
        <v>1.9970000000000001</v>
      </c>
      <c r="K75" s="137">
        <f t="shared" si="4"/>
        <v>2.3839999999999999</v>
      </c>
      <c r="L75" s="137">
        <f t="shared" si="4"/>
        <v>2.6520000000000001</v>
      </c>
      <c r="M75" s="138">
        <f t="shared" si="4"/>
        <v>3.444</v>
      </c>
    </row>
    <row r="76" spans="7:13">
      <c r="G76" s="115">
        <v>67</v>
      </c>
      <c r="H76" s="137">
        <f t="shared" si="4"/>
        <v>1.294</v>
      </c>
      <c r="I76" s="137">
        <f t="shared" si="4"/>
        <v>1.6679999999999999</v>
      </c>
      <c r="J76" s="137">
        <f t="shared" si="4"/>
        <v>1.996</v>
      </c>
      <c r="K76" s="137">
        <f t="shared" si="4"/>
        <v>2.383</v>
      </c>
      <c r="L76" s="137">
        <f t="shared" si="4"/>
        <v>2.6509999999999998</v>
      </c>
      <c r="M76" s="138">
        <f t="shared" si="4"/>
        <v>3.4420000000000002</v>
      </c>
    </row>
    <row r="77" spans="7:13">
      <c r="G77" s="115">
        <v>68</v>
      </c>
      <c r="H77" s="137">
        <f t="shared" si="4"/>
        <v>1.294</v>
      </c>
      <c r="I77" s="137">
        <f t="shared" si="4"/>
        <v>1.6679999999999999</v>
      </c>
      <c r="J77" s="137">
        <f t="shared" si="4"/>
        <v>1.9950000000000001</v>
      </c>
      <c r="K77" s="137">
        <f t="shared" si="4"/>
        <v>2.3820000000000001</v>
      </c>
      <c r="L77" s="137">
        <f t="shared" si="4"/>
        <v>2.65</v>
      </c>
      <c r="M77" s="138">
        <f t="shared" si="4"/>
        <v>3.4390000000000001</v>
      </c>
    </row>
    <row r="78" spans="7:13">
      <c r="G78" s="115">
        <v>69</v>
      </c>
      <c r="H78" s="137">
        <f t="shared" si="4"/>
        <v>1.294</v>
      </c>
      <c r="I78" s="137">
        <f t="shared" si="4"/>
        <v>1.667</v>
      </c>
      <c r="J78" s="137">
        <f t="shared" si="4"/>
        <v>1.9950000000000001</v>
      </c>
      <c r="K78" s="137">
        <f t="shared" si="4"/>
        <v>2.3820000000000001</v>
      </c>
      <c r="L78" s="137">
        <f t="shared" si="4"/>
        <v>2.649</v>
      </c>
      <c r="M78" s="138">
        <f t="shared" si="4"/>
        <v>3.4369999999999998</v>
      </c>
    </row>
    <row r="79" spans="7:13">
      <c r="G79" s="115">
        <v>70</v>
      </c>
      <c r="H79" s="137">
        <f t="shared" si="4"/>
        <v>1.294</v>
      </c>
      <c r="I79" s="137">
        <f t="shared" si="4"/>
        <v>1.667</v>
      </c>
      <c r="J79" s="137">
        <f t="shared" si="4"/>
        <v>1.994</v>
      </c>
      <c r="K79" s="137">
        <f t="shared" si="4"/>
        <v>2.3809999999999998</v>
      </c>
      <c r="L79" s="137">
        <f t="shared" si="4"/>
        <v>2.6480000000000001</v>
      </c>
      <c r="M79" s="138">
        <f t="shared" si="4"/>
        <v>3.4350000000000001</v>
      </c>
    </row>
  </sheetData>
  <mergeCells count="13">
    <mergeCell ref="A20:B20"/>
    <mergeCell ref="A1:G1"/>
    <mergeCell ref="B2:C2"/>
    <mergeCell ref="H3:M3"/>
    <mergeCell ref="H4:M4"/>
    <mergeCell ref="G5:G9"/>
    <mergeCell ref="H6:M6"/>
    <mergeCell ref="H8:M8"/>
    <mergeCell ref="A15:B15"/>
    <mergeCell ref="A16:B16"/>
    <mergeCell ref="A17:B17"/>
    <mergeCell ref="A18:B18"/>
    <mergeCell ref="A19:B19"/>
  </mergeCells>
  <conditionalFormatting sqref="H10:M79">
    <cfRule type="expression" dxfId="0" priority="1" stopIfTrue="1">
      <formula>AND(H$5=1-(1-$B$6)*2/$B$11,$G10=$B$4-1)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F113"/>
  <sheetViews>
    <sheetView workbookViewId="0"/>
  </sheetViews>
  <sheetFormatPr defaultRowHeight="15"/>
  <cols>
    <col min="1" max="1" width="20.28515625" customWidth="1"/>
    <col min="3" max="3" width="6" customWidth="1"/>
    <col min="5" max="5" width="5.28515625" customWidth="1"/>
    <col min="6" max="6" width="26" customWidth="1"/>
    <col min="7" max="7" width="15.140625" customWidth="1"/>
    <col min="8" max="8" width="13" customWidth="1"/>
    <col min="9" max="9" width="4.7109375" customWidth="1"/>
    <col min="10" max="10" width="29.42578125" customWidth="1"/>
    <col min="13" max="13" width="5.140625" customWidth="1"/>
    <col min="14" max="14" width="10.28515625" customWidth="1"/>
    <col min="15" max="15" width="3.7109375" bestFit="1" customWidth="1"/>
    <col min="16" max="16" width="8.85546875" bestFit="1" customWidth="1"/>
    <col min="17" max="17" width="12" bestFit="1" customWidth="1"/>
    <col min="18" max="32" width="7.7109375" customWidth="1"/>
  </cols>
  <sheetData>
    <row r="1" spans="1:18">
      <c r="A1" s="4" t="s">
        <v>255</v>
      </c>
      <c r="F1" s="139" t="s">
        <v>256</v>
      </c>
    </row>
    <row r="2" spans="1:18">
      <c r="A2" t="s">
        <v>257</v>
      </c>
    </row>
    <row r="3" spans="1:18">
      <c r="A3" s="1" t="s">
        <v>258</v>
      </c>
      <c r="B3" s="1" t="s">
        <v>1</v>
      </c>
      <c r="C3" s="1" t="s">
        <v>259</v>
      </c>
      <c r="D3" s="1" t="s">
        <v>260</v>
      </c>
      <c r="F3" s="4" t="s">
        <v>261</v>
      </c>
    </row>
    <row r="4" spans="1:18">
      <c r="A4" s="1" t="s">
        <v>262</v>
      </c>
      <c r="B4" s="171">
        <v>841</v>
      </c>
      <c r="C4" s="1" t="s">
        <v>262</v>
      </c>
      <c r="D4" s="171">
        <v>845</v>
      </c>
      <c r="F4" t="s">
        <v>263</v>
      </c>
    </row>
    <row r="5" spans="1:18">
      <c r="A5" s="1" t="s">
        <v>264</v>
      </c>
      <c r="B5" s="171">
        <v>890</v>
      </c>
      <c r="C5" s="1" t="s">
        <v>264</v>
      </c>
      <c r="D5" s="171">
        <v>826</v>
      </c>
      <c r="F5" t="s">
        <v>265</v>
      </c>
    </row>
    <row r="6" spans="1:18">
      <c r="A6" s="1" t="s">
        <v>266</v>
      </c>
      <c r="B6" s="171">
        <v>821</v>
      </c>
      <c r="C6" s="1" t="s">
        <v>266</v>
      </c>
      <c r="D6" s="171">
        <v>827</v>
      </c>
      <c r="J6" s="139"/>
    </row>
    <row r="7" spans="1:18">
      <c r="A7" s="1" t="s">
        <v>267</v>
      </c>
      <c r="B7" s="171">
        <v>771</v>
      </c>
      <c r="C7" s="1" t="s">
        <v>267</v>
      </c>
      <c r="D7" s="171">
        <v>875</v>
      </c>
      <c r="F7" t="s">
        <v>268</v>
      </c>
    </row>
    <row r="8" spans="1:18" ht="15.75" thickBot="1">
      <c r="A8" s="1" t="s">
        <v>269</v>
      </c>
      <c r="B8" s="171">
        <v>850</v>
      </c>
      <c r="C8" s="1" t="s">
        <v>269</v>
      </c>
      <c r="D8" s="171">
        <v>784</v>
      </c>
    </row>
    <row r="9" spans="1:18">
      <c r="A9" s="1" t="s">
        <v>270</v>
      </c>
      <c r="B9" s="171">
        <v>859</v>
      </c>
      <c r="C9" s="1" t="s">
        <v>270</v>
      </c>
      <c r="D9" s="171">
        <v>809</v>
      </c>
      <c r="F9" s="141"/>
      <c r="G9" s="141" t="s">
        <v>1</v>
      </c>
      <c r="H9" s="141" t="s">
        <v>260</v>
      </c>
    </row>
    <row r="10" spans="1:18">
      <c r="A10" s="1" t="s">
        <v>271</v>
      </c>
      <c r="B10" s="171">
        <v>825</v>
      </c>
      <c r="C10" s="1" t="s">
        <v>271</v>
      </c>
      <c r="D10" s="171">
        <v>802</v>
      </c>
      <c r="F10" s="10" t="s">
        <v>51</v>
      </c>
      <c r="G10" s="10">
        <v>5.5</v>
      </c>
      <c r="H10" s="10">
        <v>5.300000000000006</v>
      </c>
    </row>
    <row r="11" spans="1:18">
      <c r="A11" s="1" t="s">
        <v>272</v>
      </c>
      <c r="B11" s="171">
        <v>829</v>
      </c>
      <c r="C11" s="1" t="s">
        <v>272</v>
      </c>
      <c r="D11" s="171">
        <v>820</v>
      </c>
      <c r="F11" s="10" t="s">
        <v>273</v>
      </c>
      <c r="G11" s="10">
        <v>0.16</v>
      </c>
      <c r="H11" s="10">
        <v>0.09</v>
      </c>
    </row>
    <row r="12" spans="1:18">
      <c r="A12" s="1" t="s">
        <v>274</v>
      </c>
      <c r="B12" s="140"/>
      <c r="C12" s="1" t="s">
        <v>274</v>
      </c>
      <c r="D12" s="140">
        <v>829</v>
      </c>
      <c r="F12" s="10" t="s">
        <v>275</v>
      </c>
      <c r="G12" s="10">
        <v>50</v>
      </c>
      <c r="H12" s="10">
        <v>100</v>
      </c>
    </row>
    <row r="13" spans="1:18">
      <c r="A13" s="1" t="s">
        <v>276</v>
      </c>
      <c r="B13" s="140"/>
      <c r="C13" s="1" t="s">
        <v>276</v>
      </c>
      <c r="D13" s="140">
        <v>830</v>
      </c>
      <c r="F13" s="10" t="s">
        <v>277</v>
      </c>
      <c r="G13" s="10">
        <v>0</v>
      </c>
      <c r="H13" s="10"/>
    </row>
    <row r="14" spans="1:18">
      <c r="A14" s="1" t="s">
        <v>19</v>
      </c>
      <c r="B14" s="140"/>
      <c r="C14" s="1" t="s">
        <v>19</v>
      </c>
      <c r="D14" s="140">
        <v>842</v>
      </c>
      <c r="F14" s="10" t="s">
        <v>209</v>
      </c>
      <c r="G14" s="10">
        <v>3.123475237772027</v>
      </c>
      <c r="H14" s="10"/>
    </row>
    <row r="15" spans="1:18">
      <c r="A15" s="1" t="s">
        <v>278</v>
      </c>
      <c r="B15" s="140"/>
      <c r="C15" s="1" t="s">
        <v>278</v>
      </c>
      <c r="D15" s="140">
        <v>832</v>
      </c>
      <c r="F15" s="10" t="s">
        <v>279</v>
      </c>
      <c r="G15" s="10">
        <v>8.9364451849349713E-4</v>
      </c>
      <c r="H15" s="10"/>
      <c r="P15" s="180" t="s">
        <v>280</v>
      </c>
      <c r="Q15" s="180"/>
      <c r="R15" s="180"/>
    </row>
    <row r="16" spans="1:18">
      <c r="A16" s="1" t="s">
        <v>281</v>
      </c>
      <c r="B16" s="140"/>
      <c r="C16" s="1" t="s">
        <v>281</v>
      </c>
      <c r="D16" s="140"/>
      <c r="F16" s="10" t="s">
        <v>282</v>
      </c>
      <c r="G16" s="10">
        <v>2.3263478740408399</v>
      </c>
      <c r="H16" s="10"/>
      <c r="Q16" t="s">
        <v>283</v>
      </c>
      <c r="R16" t="s">
        <v>284</v>
      </c>
    </row>
    <row r="17" spans="1:32" ht="17.25">
      <c r="A17" s="1" t="s">
        <v>169</v>
      </c>
      <c r="B17" s="140"/>
      <c r="C17" s="1" t="s">
        <v>169</v>
      </c>
      <c r="D17" s="171"/>
      <c r="F17" s="10" t="s">
        <v>285</v>
      </c>
      <c r="G17" s="10">
        <v>1.7872890369869943E-3</v>
      </c>
      <c r="H17" s="10"/>
      <c r="P17" s="142" t="s">
        <v>286</v>
      </c>
      <c r="Q17" s="143">
        <f>B108</f>
        <v>1183.6428571428571</v>
      </c>
      <c r="R17" s="143">
        <f>D108</f>
        <v>521.65909090909088</v>
      </c>
    </row>
    <row r="18" spans="1:32" ht="15.75" thickBot="1">
      <c r="A18" s="1" t="s">
        <v>287</v>
      </c>
      <c r="B18" s="140"/>
      <c r="C18" s="1" t="s">
        <v>287</v>
      </c>
      <c r="D18" s="171"/>
      <c r="F18" s="12" t="s">
        <v>288</v>
      </c>
      <c r="G18" s="12">
        <v>2.5758293035489102</v>
      </c>
      <c r="H18" s="12"/>
      <c r="I18" s="144"/>
      <c r="M18" s="144"/>
      <c r="P18" s="142" t="s">
        <v>247</v>
      </c>
      <c r="Q18" s="145">
        <f>B109-1</f>
        <v>7</v>
      </c>
      <c r="R18" s="145">
        <f>D109-1</f>
        <v>11</v>
      </c>
    </row>
    <row r="19" spans="1:32">
      <c r="A19" s="1" t="s">
        <v>289</v>
      </c>
      <c r="B19" s="140"/>
      <c r="C19" s="1" t="s">
        <v>289</v>
      </c>
      <c r="D19" s="171"/>
      <c r="I19" s="144"/>
      <c r="M19" s="144"/>
      <c r="P19" s="142" t="s">
        <v>207</v>
      </c>
      <c r="Q19" s="145">
        <f>IF(Q17&gt;=R17,Q17/R17,R17/Q17)</f>
        <v>2.2689968942746357</v>
      </c>
    </row>
    <row r="20" spans="1:32">
      <c r="A20" s="1" t="s">
        <v>290</v>
      </c>
      <c r="B20" s="140"/>
      <c r="C20" s="1" t="s">
        <v>290</v>
      </c>
      <c r="D20" s="171"/>
      <c r="F20" s="139" t="s">
        <v>291</v>
      </c>
      <c r="I20" s="144"/>
      <c r="M20" s="144"/>
      <c r="P20" s="146" t="s">
        <v>292</v>
      </c>
      <c r="Q20" s="14">
        <v>1</v>
      </c>
      <c r="R20" t="s">
        <v>293</v>
      </c>
    </row>
    <row r="21" spans="1:32">
      <c r="A21" s="1" t="s">
        <v>294</v>
      </c>
      <c r="B21" s="140"/>
      <c r="C21" s="1" t="s">
        <v>294</v>
      </c>
      <c r="D21" s="171"/>
      <c r="F21" s="147" t="s">
        <v>295</v>
      </c>
      <c r="I21" s="144"/>
      <c r="M21" s="144"/>
      <c r="P21" s="148" t="s">
        <v>231</v>
      </c>
      <c r="Q21" s="145">
        <f>FDIST(Q19,IF(Q17&gt;R17,Q18,R18),IF(Q17&gt;R17,R18,Q18))/Q20</f>
        <v>0.10824624292970997</v>
      </c>
    </row>
    <row r="22" spans="1:32">
      <c r="A22" s="1" t="s">
        <v>296</v>
      </c>
      <c r="B22" s="140"/>
      <c r="C22" s="1" t="s">
        <v>296</v>
      </c>
      <c r="D22" s="171"/>
      <c r="F22" t="s">
        <v>349</v>
      </c>
      <c r="I22" s="144"/>
      <c r="M22" s="144"/>
    </row>
    <row r="23" spans="1:32">
      <c r="A23" s="1" t="s">
        <v>297</v>
      </c>
      <c r="B23" s="140"/>
      <c r="C23" s="1" t="s">
        <v>297</v>
      </c>
      <c r="D23" s="171"/>
      <c r="F23" s="139"/>
      <c r="I23" s="144"/>
      <c r="M23" s="144"/>
      <c r="O23" s="211" t="s">
        <v>298</v>
      </c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</row>
    <row r="24" spans="1:32">
      <c r="A24" s="1" t="s">
        <v>299</v>
      </c>
      <c r="B24" s="140"/>
      <c r="C24" s="1" t="s">
        <v>299</v>
      </c>
      <c r="D24" s="171"/>
      <c r="F24" t="s">
        <v>300</v>
      </c>
      <c r="I24" s="144"/>
      <c r="M24" s="144"/>
      <c r="P24" s="149" t="s">
        <v>301</v>
      </c>
      <c r="Q24" s="14">
        <v>0.01</v>
      </c>
    </row>
    <row r="25" spans="1:32" ht="15.75" thickBot="1">
      <c r="A25" s="1" t="s">
        <v>302</v>
      </c>
      <c r="B25" s="140"/>
      <c r="C25" s="1" t="s">
        <v>302</v>
      </c>
      <c r="D25" s="140"/>
      <c r="I25" s="144"/>
      <c r="M25" s="144"/>
    </row>
    <row r="26" spans="1:32">
      <c r="A26" s="1" t="s">
        <v>303</v>
      </c>
      <c r="B26" s="140"/>
      <c r="C26" s="1" t="s">
        <v>303</v>
      </c>
      <c r="D26" s="140"/>
      <c r="F26" s="141"/>
      <c r="G26" s="141" t="s">
        <v>1</v>
      </c>
      <c r="H26" s="141" t="s">
        <v>260</v>
      </c>
      <c r="I26" s="144"/>
      <c r="M26" s="144"/>
      <c r="O26" s="212"/>
      <c r="P26" s="213"/>
      <c r="Q26" s="215" t="s">
        <v>304</v>
      </c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</row>
    <row r="27" spans="1:32">
      <c r="A27" s="1" t="s">
        <v>171</v>
      </c>
      <c r="B27" s="140"/>
      <c r="C27" s="1" t="s">
        <v>171</v>
      </c>
      <c r="D27" s="140"/>
      <c r="F27" s="10" t="s">
        <v>51</v>
      </c>
      <c r="G27" s="10">
        <v>104.66666666666667</v>
      </c>
      <c r="H27" s="10">
        <v>79</v>
      </c>
      <c r="I27" s="144"/>
      <c r="M27" s="144"/>
      <c r="O27" s="193"/>
      <c r="P27" s="214"/>
      <c r="Q27" s="31">
        <v>1</v>
      </c>
      <c r="R27" s="1">
        <v>2</v>
      </c>
      <c r="S27" s="1">
        <v>3</v>
      </c>
      <c r="T27" s="1">
        <v>4</v>
      </c>
      <c r="U27" s="1">
        <v>5</v>
      </c>
      <c r="V27" s="1">
        <v>6</v>
      </c>
      <c r="W27" s="1">
        <v>7</v>
      </c>
      <c r="X27" s="1">
        <v>8</v>
      </c>
      <c r="Y27" s="1">
        <v>9</v>
      </c>
      <c r="Z27" s="1">
        <v>10</v>
      </c>
      <c r="AA27" s="1">
        <v>12</v>
      </c>
      <c r="AB27" s="1">
        <v>15</v>
      </c>
      <c r="AC27" s="1">
        <v>20</v>
      </c>
      <c r="AD27" s="1">
        <v>24</v>
      </c>
      <c r="AE27" s="1">
        <v>30</v>
      </c>
      <c r="AF27" s="1">
        <v>40</v>
      </c>
    </row>
    <row r="28" spans="1:32" ht="15" customHeight="1">
      <c r="A28" s="1" t="s">
        <v>305</v>
      </c>
      <c r="B28" s="140"/>
      <c r="C28" s="1" t="s">
        <v>305</v>
      </c>
      <c r="D28" s="140"/>
      <c r="F28" s="10" t="s">
        <v>176</v>
      </c>
      <c r="G28" s="10">
        <v>234.25</v>
      </c>
      <c r="H28" s="10">
        <v>61</v>
      </c>
      <c r="I28" s="144"/>
      <c r="M28" s="144"/>
      <c r="O28" s="217" t="s">
        <v>306</v>
      </c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 t="e">
        <f t="shared" ref="AE28:AF57" si="0">FINV($Q$24,AE$27,$P28)</f>
        <v>#NUM!</v>
      </c>
      <c r="AF28" s="150" t="e">
        <f t="shared" si="0"/>
        <v>#NUM!</v>
      </c>
    </row>
    <row r="29" spans="1:32">
      <c r="A29" s="1" t="s">
        <v>209</v>
      </c>
      <c r="B29" s="140"/>
      <c r="C29" s="1" t="s">
        <v>209</v>
      </c>
      <c r="D29" s="140"/>
      <c r="F29" s="10" t="s">
        <v>275</v>
      </c>
      <c r="G29" s="10">
        <v>9</v>
      </c>
      <c r="H29" s="10">
        <v>7</v>
      </c>
      <c r="I29" s="144"/>
      <c r="M29" s="144"/>
      <c r="O29" s="217"/>
      <c r="P29">
        <v>2</v>
      </c>
      <c r="Q29" s="150">
        <f t="shared" ref="Q29:AD44" si="1">FINV($Q$24,Q$27,$P29)</f>
        <v>98.502512554009002</v>
      </c>
      <c r="R29" s="150">
        <f t="shared" si="1"/>
        <v>98.999999999766402</v>
      </c>
      <c r="S29" s="150">
        <f t="shared" si="1"/>
        <v>99.166201374717929</v>
      </c>
      <c r="T29" s="150">
        <f t="shared" si="1"/>
        <v>99.249371856067455</v>
      </c>
      <c r="U29" s="150">
        <f t="shared" si="1"/>
        <v>99.299296479051037</v>
      </c>
      <c r="V29" s="150">
        <f t="shared" si="1"/>
        <v>99.332588866991614</v>
      </c>
      <c r="W29" s="150">
        <f t="shared" si="1"/>
        <v>99.356373702127598</v>
      </c>
      <c r="X29" s="150">
        <f t="shared" si="1"/>
        <v>99.37421482116153</v>
      </c>
      <c r="Y29" s="150">
        <f t="shared" si="1"/>
        <v>99.388092724223071</v>
      </c>
      <c r="Z29" s="150">
        <f t="shared" si="1"/>
        <v>99.399195977273678</v>
      </c>
      <c r="AA29" s="150">
        <f t="shared" si="1"/>
        <v>99.415852407848917</v>
      </c>
      <c r="AB29" s="150">
        <f t="shared" si="1"/>
        <v>99.432510699613402</v>
      </c>
      <c r="AC29" s="150">
        <f t="shared" si="1"/>
        <v>99.449170852548519</v>
      </c>
      <c r="AD29" s="150">
        <f t="shared" si="1"/>
        <v>99.457501626948073</v>
      </c>
      <c r="AE29" s="150">
        <f t="shared" si="0"/>
        <v>99.465832866624254</v>
      </c>
      <c r="AF29" s="150">
        <f t="shared" si="0"/>
        <v>99.474164571560749</v>
      </c>
    </row>
    <row r="30" spans="1:32">
      <c r="A30" s="1" t="s">
        <v>307</v>
      </c>
      <c r="B30" s="140"/>
      <c r="C30" s="1" t="s">
        <v>307</v>
      </c>
      <c r="D30" s="140"/>
      <c r="F30" s="10" t="s">
        <v>247</v>
      </c>
      <c r="G30" s="10">
        <v>8</v>
      </c>
      <c r="H30" s="10">
        <v>6</v>
      </c>
      <c r="I30" s="144"/>
      <c r="M30" s="144"/>
      <c r="O30" s="217"/>
      <c r="P30">
        <v>3</v>
      </c>
      <c r="Q30" s="150">
        <f t="shared" si="1"/>
        <v>34.116221561011926</v>
      </c>
      <c r="R30" s="150">
        <f t="shared" si="1"/>
        <v>30.816520350531313</v>
      </c>
      <c r="S30" s="150">
        <f t="shared" si="1"/>
        <v>29.456695126953917</v>
      </c>
      <c r="T30" s="150">
        <f t="shared" si="1"/>
        <v>28.709898387628975</v>
      </c>
      <c r="U30" s="150">
        <f t="shared" si="1"/>
        <v>28.237080838203639</v>
      </c>
      <c r="V30" s="150">
        <f t="shared" si="1"/>
        <v>27.910657358247576</v>
      </c>
      <c r="W30" s="150">
        <f t="shared" si="1"/>
        <v>27.671696070966533</v>
      </c>
      <c r="X30" s="150">
        <f t="shared" si="1"/>
        <v>27.489177031252737</v>
      </c>
      <c r="Y30" s="150">
        <f t="shared" si="1"/>
        <v>27.345206334352866</v>
      </c>
      <c r="Z30" s="150">
        <f t="shared" si="1"/>
        <v>27.228734122311096</v>
      </c>
      <c r="AA30" s="150">
        <f t="shared" si="1"/>
        <v>27.051819257066903</v>
      </c>
      <c r="AB30" s="150">
        <f t="shared" si="1"/>
        <v>26.872194957589237</v>
      </c>
      <c r="AC30" s="150">
        <f t="shared" si="1"/>
        <v>26.689790511219684</v>
      </c>
      <c r="AD30" s="150">
        <f t="shared" si="1"/>
        <v>26.597523221164877</v>
      </c>
      <c r="AE30" s="150">
        <f t="shared" si="0"/>
        <v>26.504533698010668</v>
      </c>
      <c r="AF30" s="150">
        <f t="shared" si="0"/>
        <v>26.410812690523173</v>
      </c>
    </row>
    <row r="31" spans="1:32">
      <c r="A31" s="1" t="s">
        <v>308</v>
      </c>
      <c r="B31" s="140"/>
      <c r="C31" s="1" t="s">
        <v>308</v>
      </c>
      <c r="D31" s="140"/>
      <c r="F31" s="10" t="s">
        <v>207</v>
      </c>
      <c r="G31" s="10">
        <v>3.8401639344262297</v>
      </c>
      <c r="H31" s="10"/>
      <c r="I31" s="144"/>
      <c r="M31" s="144"/>
      <c r="O31" s="217"/>
      <c r="P31">
        <v>4</v>
      </c>
      <c r="Q31" s="150">
        <f t="shared" si="1"/>
        <v>21.197689583307088</v>
      </c>
      <c r="R31" s="150">
        <f t="shared" si="1"/>
        <v>18.000000000073648</v>
      </c>
      <c r="S31" s="150">
        <f t="shared" si="1"/>
        <v>16.694369237421213</v>
      </c>
      <c r="T31" s="150">
        <f t="shared" si="1"/>
        <v>15.977024852779369</v>
      </c>
      <c r="U31" s="150">
        <f t="shared" si="1"/>
        <v>15.521857544694118</v>
      </c>
      <c r="V31" s="150">
        <f t="shared" si="1"/>
        <v>15.20686486148989</v>
      </c>
      <c r="W31" s="150">
        <f t="shared" si="1"/>
        <v>14.975757704839527</v>
      </c>
      <c r="X31" s="150">
        <f t="shared" si="1"/>
        <v>14.79888879107806</v>
      </c>
      <c r="Y31" s="150">
        <f t="shared" si="1"/>
        <v>14.659133575228925</v>
      </c>
      <c r="Z31" s="150">
        <f t="shared" si="1"/>
        <v>14.545900803850806</v>
      </c>
      <c r="AA31" s="150">
        <f t="shared" si="1"/>
        <v>14.373587012785514</v>
      </c>
      <c r="AB31" s="150">
        <f t="shared" si="1"/>
        <v>14.198201870069223</v>
      </c>
      <c r="AC31" s="150">
        <f t="shared" si="1"/>
        <v>14.019608681523696</v>
      </c>
      <c r="AD31" s="150">
        <f t="shared" si="1"/>
        <v>13.929063536635773</v>
      </c>
      <c r="AE31" s="150">
        <f t="shared" si="0"/>
        <v>13.83766034210991</v>
      </c>
      <c r="AF31" s="150">
        <f t="shared" si="0"/>
        <v>13.745378895432616</v>
      </c>
    </row>
    <row r="32" spans="1:32">
      <c r="A32" s="1" t="s">
        <v>309</v>
      </c>
      <c r="B32" s="140"/>
      <c r="C32" s="1" t="s">
        <v>309</v>
      </c>
      <c r="D32" s="140"/>
      <c r="F32" s="10" t="s">
        <v>310</v>
      </c>
      <c r="G32" s="10">
        <v>5.9171503213046588E-2</v>
      </c>
      <c r="H32" s="10"/>
      <c r="I32" s="144"/>
      <c r="M32" s="144"/>
      <c r="O32" s="217"/>
      <c r="P32">
        <v>5</v>
      </c>
      <c r="Q32" s="150">
        <f t="shared" si="1"/>
        <v>16.258177038129503</v>
      </c>
      <c r="R32" s="150">
        <f t="shared" si="1"/>
        <v>13.27393361207972</v>
      </c>
      <c r="S32" s="150">
        <f t="shared" si="1"/>
        <v>12.059953692642075</v>
      </c>
      <c r="T32" s="150">
        <f t="shared" si="1"/>
        <v>11.391928071525033</v>
      </c>
      <c r="U32" s="150">
        <f t="shared" si="1"/>
        <v>10.967020650996769</v>
      </c>
      <c r="V32" s="150">
        <f t="shared" si="1"/>
        <v>10.672254792681294</v>
      </c>
      <c r="W32" s="150">
        <f t="shared" si="1"/>
        <v>10.45551089203542</v>
      </c>
      <c r="X32" s="150">
        <f t="shared" si="1"/>
        <v>10.289311046433632</v>
      </c>
      <c r="Y32" s="150">
        <f t="shared" si="1"/>
        <v>10.157761548250498</v>
      </c>
      <c r="Z32" s="150">
        <f t="shared" si="1"/>
        <v>10.051017219904832</v>
      </c>
      <c r="AA32" s="150">
        <f t="shared" si="1"/>
        <v>9.8882754871767773</v>
      </c>
      <c r="AB32" s="150">
        <f t="shared" si="1"/>
        <v>9.7222194752008591</v>
      </c>
      <c r="AC32" s="150">
        <f t="shared" si="1"/>
        <v>9.5526461621991423</v>
      </c>
      <c r="AD32" s="150">
        <f t="shared" si="1"/>
        <v>9.4664708010371008</v>
      </c>
      <c r="AE32" s="150">
        <f t="shared" si="0"/>
        <v>9.379329206431688</v>
      </c>
      <c r="AF32" s="150">
        <f t="shared" si="0"/>
        <v>9.2911887835216014</v>
      </c>
    </row>
    <row r="33" spans="1:32" ht="15.75" thickBot="1">
      <c r="A33" s="1" t="s">
        <v>311</v>
      </c>
      <c r="B33" s="140"/>
      <c r="C33" s="1" t="s">
        <v>311</v>
      </c>
      <c r="D33" s="140"/>
      <c r="F33" s="12" t="s">
        <v>312</v>
      </c>
      <c r="G33" s="12">
        <v>4.1468041624181371</v>
      </c>
      <c r="H33" s="12"/>
      <c r="I33" s="144"/>
      <c r="M33" s="144"/>
      <c r="O33" s="217"/>
      <c r="P33">
        <v>6</v>
      </c>
      <c r="Q33" s="150">
        <f t="shared" si="1"/>
        <v>13.745022526352262</v>
      </c>
      <c r="R33" s="150">
        <f t="shared" si="1"/>
        <v>10.924766500912053</v>
      </c>
      <c r="S33" s="150">
        <f t="shared" si="1"/>
        <v>9.779538241044861</v>
      </c>
      <c r="T33" s="150">
        <f t="shared" si="1"/>
        <v>9.1483010303781391</v>
      </c>
      <c r="U33" s="150">
        <f t="shared" si="1"/>
        <v>8.7458952561986543</v>
      </c>
      <c r="V33" s="150">
        <f t="shared" si="1"/>
        <v>8.4661253406798451</v>
      </c>
      <c r="W33" s="150">
        <f t="shared" si="1"/>
        <v>8.259995271191972</v>
      </c>
      <c r="X33" s="150">
        <f t="shared" si="1"/>
        <v>8.1016513669782029</v>
      </c>
      <c r="Y33" s="150">
        <f t="shared" si="1"/>
        <v>7.9761213668765478</v>
      </c>
      <c r="Z33" s="150">
        <f t="shared" si="1"/>
        <v>7.8741185338302113</v>
      </c>
      <c r="AA33" s="150">
        <f t="shared" si="1"/>
        <v>7.7183326555597702</v>
      </c>
      <c r="AB33" s="150">
        <f t="shared" si="1"/>
        <v>7.5589944155202407</v>
      </c>
      <c r="AC33" s="150">
        <f t="shared" si="1"/>
        <v>7.395831891640249</v>
      </c>
      <c r="AD33" s="150">
        <f t="shared" si="1"/>
        <v>7.3127208119172504</v>
      </c>
      <c r="AE33" s="150">
        <f t="shared" si="0"/>
        <v>7.2285330621694719</v>
      </c>
      <c r="AF33" s="150">
        <f t="shared" si="0"/>
        <v>7.143221902630513</v>
      </c>
    </row>
    <row r="34" spans="1:32">
      <c r="A34" s="1" t="s">
        <v>313</v>
      </c>
      <c r="B34" s="140"/>
      <c r="C34" s="1" t="s">
        <v>313</v>
      </c>
      <c r="D34" s="140"/>
      <c r="I34" s="144"/>
      <c r="J34" s="144"/>
      <c r="K34" s="144"/>
      <c r="L34" s="144"/>
      <c r="M34" s="144"/>
      <c r="O34" s="217"/>
      <c r="P34">
        <v>7</v>
      </c>
      <c r="Q34" s="150">
        <f t="shared" si="1"/>
        <v>12.246383347763011</v>
      </c>
      <c r="R34" s="150">
        <f t="shared" si="1"/>
        <v>9.5465780211746214</v>
      </c>
      <c r="S34" s="150">
        <f t="shared" si="1"/>
        <v>8.4512850532154502</v>
      </c>
      <c r="T34" s="150">
        <f t="shared" si="1"/>
        <v>7.8466450626813522</v>
      </c>
      <c r="U34" s="150">
        <f t="shared" si="1"/>
        <v>7.4604354931452299</v>
      </c>
      <c r="V34" s="150">
        <f t="shared" si="1"/>
        <v>7.1914047853803442</v>
      </c>
      <c r="W34" s="150">
        <f t="shared" si="1"/>
        <v>6.9928327789037681</v>
      </c>
      <c r="X34" s="150">
        <f t="shared" si="1"/>
        <v>6.8400490720340343</v>
      </c>
      <c r="Y34" s="150">
        <f t="shared" si="1"/>
        <v>6.7187524820386813</v>
      </c>
      <c r="Z34" s="150">
        <f t="shared" si="1"/>
        <v>6.6200626705131285</v>
      </c>
      <c r="AA34" s="150">
        <f t="shared" si="1"/>
        <v>6.4690912790740231</v>
      </c>
      <c r="AB34" s="150">
        <f t="shared" si="1"/>
        <v>6.3143308762420975</v>
      </c>
      <c r="AC34" s="150">
        <f t="shared" si="1"/>
        <v>6.1554383858245316</v>
      </c>
      <c r="AD34" s="150">
        <f t="shared" si="1"/>
        <v>6.0743192503825867</v>
      </c>
      <c r="AE34" s="150">
        <f t="shared" si="0"/>
        <v>5.992010174743438</v>
      </c>
      <c r="AF34" s="150">
        <f t="shared" si="0"/>
        <v>5.9084485567216003</v>
      </c>
    </row>
    <row r="35" spans="1:32">
      <c r="A35" s="1" t="s">
        <v>314</v>
      </c>
      <c r="B35" s="140"/>
      <c r="C35" s="1" t="s">
        <v>314</v>
      </c>
      <c r="D35" s="140"/>
      <c r="I35" s="144"/>
      <c r="J35" s="144"/>
      <c r="K35" s="144"/>
      <c r="L35" s="144"/>
      <c r="M35" s="144"/>
      <c r="N35" s="144"/>
      <c r="O35" s="217"/>
      <c r="P35">
        <v>8</v>
      </c>
      <c r="Q35" s="150">
        <f t="shared" si="1"/>
        <v>11.258624141940192</v>
      </c>
      <c r="R35" s="150">
        <f t="shared" si="1"/>
        <v>8.649110640744528</v>
      </c>
      <c r="S35" s="150">
        <f t="shared" si="1"/>
        <v>7.5909919477926273</v>
      </c>
      <c r="T35" s="150">
        <f t="shared" si="1"/>
        <v>7.0060766230796698</v>
      </c>
      <c r="U35" s="150">
        <f t="shared" si="1"/>
        <v>6.631825164647001</v>
      </c>
      <c r="V35" s="150">
        <f t="shared" si="1"/>
        <v>6.370680730397666</v>
      </c>
      <c r="W35" s="150">
        <f t="shared" si="1"/>
        <v>6.1776242611253522</v>
      </c>
      <c r="X35" s="150">
        <f t="shared" si="1"/>
        <v>6.0288701067940895</v>
      </c>
      <c r="Y35" s="150">
        <f t="shared" si="1"/>
        <v>5.9106188493766503</v>
      </c>
      <c r="Z35" s="150">
        <f t="shared" si="1"/>
        <v>5.8142938553102024</v>
      </c>
      <c r="AA35" s="150">
        <f t="shared" si="1"/>
        <v>5.6667192640647901</v>
      </c>
      <c r="AB35" s="150">
        <f t="shared" si="1"/>
        <v>5.5151248398839083</v>
      </c>
      <c r="AC35" s="150">
        <f t="shared" si="1"/>
        <v>5.3590949409484931</v>
      </c>
      <c r="AD35" s="150">
        <f t="shared" si="1"/>
        <v>5.279264387415612</v>
      </c>
      <c r="AE35" s="150">
        <f t="shared" si="0"/>
        <v>5.1981295490178638</v>
      </c>
      <c r="AF35" s="150">
        <f t="shared" si="0"/>
        <v>5.1156103959168391</v>
      </c>
    </row>
    <row r="36" spans="1:32">
      <c r="A36" s="1" t="s">
        <v>315</v>
      </c>
      <c r="B36" s="140"/>
      <c r="C36" s="1" t="s">
        <v>315</v>
      </c>
      <c r="D36" s="140"/>
      <c r="F36" s="151" t="s">
        <v>316</v>
      </c>
      <c r="G36" s="144"/>
      <c r="H36" s="144"/>
      <c r="I36" s="144"/>
      <c r="J36" s="144"/>
      <c r="K36" s="144"/>
      <c r="L36" s="144"/>
      <c r="M36" s="144"/>
      <c r="N36" s="144"/>
      <c r="O36" s="217"/>
      <c r="P36">
        <v>9</v>
      </c>
      <c r="Q36" s="150">
        <f t="shared" si="1"/>
        <v>10.561431044375357</v>
      </c>
      <c r="R36" s="150">
        <f t="shared" si="1"/>
        <v>8.0215173100018617</v>
      </c>
      <c r="S36" s="150">
        <f t="shared" si="1"/>
        <v>6.9919172225641208</v>
      </c>
      <c r="T36" s="150">
        <f t="shared" si="1"/>
        <v>6.422085458269434</v>
      </c>
      <c r="U36" s="150">
        <f t="shared" si="1"/>
        <v>6.0569407142359832</v>
      </c>
      <c r="V36" s="150">
        <f t="shared" si="1"/>
        <v>5.8017703066806945</v>
      </c>
      <c r="W36" s="150">
        <f t="shared" si="1"/>
        <v>5.6128654775380085</v>
      </c>
      <c r="X36" s="150">
        <f t="shared" si="1"/>
        <v>5.4671225155796943</v>
      </c>
      <c r="Y36" s="150">
        <f t="shared" si="1"/>
        <v>5.3511288613083359</v>
      </c>
      <c r="Z36" s="150">
        <f t="shared" si="1"/>
        <v>5.2565419914386222</v>
      </c>
      <c r="AA36" s="150">
        <f t="shared" si="1"/>
        <v>5.111431016999795</v>
      </c>
      <c r="AB36" s="150">
        <f t="shared" si="1"/>
        <v>4.9620783564940236</v>
      </c>
      <c r="AC36" s="150">
        <f t="shared" si="1"/>
        <v>4.8079952288431578</v>
      </c>
      <c r="AD36" s="150">
        <f t="shared" si="1"/>
        <v>4.7289975651381138</v>
      </c>
      <c r="AE36" s="150">
        <f t="shared" si="0"/>
        <v>4.6485816744404236</v>
      </c>
      <c r="AF36" s="150">
        <f t="shared" si="0"/>
        <v>4.5666487210469153</v>
      </c>
    </row>
    <row r="37" spans="1:32">
      <c r="A37" s="1" t="s">
        <v>317</v>
      </c>
      <c r="B37" s="140"/>
      <c r="C37" s="1" t="s">
        <v>317</v>
      </c>
      <c r="D37" s="140"/>
      <c r="F37" t="s">
        <v>350</v>
      </c>
      <c r="G37" s="144"/>
      <c r="H37" s="144"/>
      <c r="I37" s="144"/>
      <c r="J37" s="144"/>
      <c r="K37" s="144"/>
      <c r="L37" s="144"/>
      <c r="M37" s="144"/>
      <c r="O37" s="217"/>
      <c r="P37">
        <v>10</v>
      </c>
      <c r="Q37" s="150">
        <f t="shared" si="1"/>
        <v>10.044289267008754</v>
      </c>
      <c r="R37" s="150">
        <f t="shared" si="1"/>
        <v>7.5594321576165822</v>
      </c>
      <c r="S37" s="150">
        <f t="shared" si="1"/>
        <v>6.5523125581017219</v>
      </c>
      <c r="T37" s="150">
        <f t="shared" si="1"/>
        <v>5.9943386617395173</v>
      </c>
      <c r="U37" s="150">
        <f t="shared" si="1"/>
        <v>5.6363261877596749</v>
      </c>
      <c r="V37" s="150">
        <f t="shared" si="1"/>
        <v>5.3858110449815619</v>
      </c>
      <c r="W37" s="150">
        <f t="shared" si="1"/>
        <v>5.2001212507076744</v>
      </c>
      <c r="X37" s="150">
        <f t="shared" si="1"/>
        <v>5.0566931318968127</v>
      </c>
      <c r="Y37" s="150">
        <f t="shared" si="1"/>
        <v>4.9424206522181908</v>
      </c>
      <c r="Z37" s="150">
        <f t="shared" si="1"/>
        <v>4.8491468021778434</v>
      </c>
      <c r="AA37" s="150">
        <f t="shared" si="1"/>
        <v>4.7058696861864284</v>
      </c>
      <c r="AB37" s="150">
        <f t="shared" si="1"/>
        <v>4.5581396044562794</v>
      </c>
      <c r="AC37" s="150">
        <f t="shared" si="1"/>
        <v>4.4053947662211215</v>
      </c>
      <c r="AD37" s="150">
        <f t="shared" si="1"/>
        <v>4.3269291638485718</v>
      </c>
      <c r="AE37" s="150">
        <f t="shared" si="0"/>
        <v>4.2469328171847689</v>
      </c>
      <c r="AF37" s="150">
        <f t="shared" si="0"/>
        <v>4.1652868970905228</v>
      </c>
    </row>
    <row r="38" spans="1:32">
      <c r="A38" s="1" t="s">
        <v>318</v>
      </c>
      <c r="B38" s="140"/>
      <c r="C38" s="1" t="s">
        <v>318</v>
      </c>
      <c r="D38" s="140"/>
      <c r="F38" s="151"/>
      <c r="G38" s="144"/>
      <c r="H38" s="144"/>
      <c r="I38" s="144"/>
      <c r="J38" s="144"/>
      <c r="K38" s="144"/>
      <c r="L38" s="144"/>
      <c r="M38" s="144"/>
      <c r="O38" s="217"/>
      <c r="P38">
        <v>11</v>
      </c>
      <c r="Q38" s="150">
        <f t="shared" si="1"/>
        <v>9.6460340998094161</v>
      </c>
      <c r="R38" s="150">
        <f t="shared" si="1"/>
        <v>7.2057133505250217</v>
      </c>
      <c r="S38" s="150">
        <f t="shared" si="1"/>
        <v>6.2167298125406241</v>
      </c>
      <c r="T38" s="150">
        <f t="shared" si="1"/>
        <v>5.668300212984045</v>
      </c>
      <c r="U38" s="150">
        <f t="shared" si="1"/>
        <v>5.3160089186608825</v>
      </c>
      <c r="V38" s="150">
        <f t="shared" si="1"/>
        <v>5.0692104313232882</v>
      </c>
      <c r="W38" s="150">
        <f t="shared" si="1"/>
        <v>4.8860720393744064</v>
      </c>
      <c r="X38" s="150">
        <f t="shared" si="1"/>
        <v>4.7444676440780409</v>
      </c>
      <c r="Y38" s="150">
        <f t="shared" si="1"/>
        <v>4.6315397477366513</v>
      </c>
      <c r="Z38" s="150">
        <f t="shared" si="1"/>
        <v>4.5392818112712323</v>
      </c>
      <c r="AA38" s="150">
        <f t="shared" si="1"/>
        <v>4.3974010772888139</v>
      </c>
      <c r="AB38" s="150">
        <f t="shared" si="1"/>
        <v>4.2508672626144239</v>
      </c>
      <c r="AC38" s="150">
        <f t="shared" si="1"/>
        <v>4.0990462480815992</v>
      </c>
      <c r="AD38" s="150">
        <f t="shared" si="1"/>
        <v>4.0209095938638502</v>
      </c>
      <c r="AE38" s="150">
        <f t="shared" si="0"/>
        <v>3.9411317759476701</v>
      </c>
      <c r="AF38" s="150">
        <f t="shared" si="0"/>
        <v>3.8595729664796972</v>
      </c>
    </row>
    <row r="39" spans="1:32">
      <c r="A39" s="1" t="s">
        <v>319</v>
      </c>
      <c r="B39" s="140"/>
      <c r="C39" s="1" t="s">
        <v>319</v>
      </c>
      <c r="D39" s="140"/>
      <c r="F39" t="s">
        <v>320</v>
      </c>
      <c r="O39" s="217"/>
      <c r="P39">
        <v>12</v>
      </c>
      <c r="Q39" s="150">
        <f t="shared" si="1"/>
        <v>9.3302120821386687</v>
      </c>
      <c r="R39" s="150">
        <f t="shared" si="1"/>
        <v>6.9266081402579776</v>
      </c>
      <c r="S39" s="150">
        <f t="shared" si="1"/>
        <v>5.9525446831591751</v>
      </c>
      <c r="T39" s="150">
        <f t="shared" si="1"/>
        <v>5.4119514345743891</v>
      </c>
      <c r="U39" s="150">
        <f t="shared" si="1"/>
        <v>5.0643431111410724</v>
      </c>
      <c r="V39" s="150">
        <f t="shared" si="1"/>
        <v>4.820573502002043</v>
      </c>
      <c r="W39" s="150">
        <f t="shared" si="1"/>
        <v>4.6395024467388453</v>
      </c>
      <c r="X39" s="150">
        <f t="shared" si="1"/>
        <v>4.4993652809820865</v>
      </c>
      <c r="Y39" s="150">
        <f t="shared" si="1"/>
        <v>4.3875099632126151</v>
      </c>
      <c r="Z39" s="150">
        <f t="shared" si="1"/>
        <v>4.2960544039062381</v>
      </c>
      <c r="AA39" s="150">
        <f t="shared" si="1"/>
        <v>4.1552577904177443</v>
      </c>
      <c r="AB39" s="150">
        <f t="shared" si="1"/>
        <v>4.0096191405660502</v>
      </c>
      <c r="AC39" s="150">
        <f t="shared" si="1"/>
        <v>3.8584331028585623</v>
      </c>
      <c r="AD39" s="150">
        <f t="shared" si="1"/>
        <v>3.7804854719185679</v>
      </c>
      <c r="AE39" s="150">
        <f t="shared" si="0"/>
        <v>3.7007887894289571</v>
      </c>
      <c r="AF39" s="150">
        <f t="shared" si="0"/>
        <v>3.619181388566397</v>
      </c>
    </row>
    <row r="40" spans="1:32" ht="15.75" thickBot="1">
      <c r="A40" s="1" t="s">
        <v>321</v>
      </c>
      <c r="B40" s="140"/>
      <c r="C40" s="1" t="s">
        <v>321</v>
      </c>
      <c r="D40" s="140"/>
      <c r="O40" s="217"/>
      <c r="P40">
        <v>13</v>
      </c>
      <c r="Q40" s="150">
        <f t="shared" si="1"/>
        <v>9.0738056948886303</v>
      </c>
      <c r="R40" s="150">
        <f t="shared" si="1"/>
        <v>6.7009645359465555</v>
      </c>
      <c r="S40" s="150">
        <f t="shared" si="1"/>
        <v>5.7393802852228344</v>
      </c>
      <c r="T40" s="150">
        <f t="shared" si="1"/>
        <v>5.2053301895140951</v>
      </c>
      <c r="U40" s="150">
        <f t="shared" si="1"/>
        <v>4.8616212078306766</v>
      </c>
      <c r="V40" s="150">
        <f t="shared" si="1"/>
        <v>4.620363395701359</v>
      </c>
      <c r="W40" s="150">
        <f t="shared" si="1"/>
        <v>4.440997410863174</v>
      </c>
      <c r="X40" s="150">
        <f t="shared" si="1"/>
        <v>4.302062011024546</v>
      </c>
      <c r="Y40" s="150">
        <f t="shared" si="1"/>
        <v>4.1910777817646618</v>
      </c>
      <c r="Z40" s="150">
        <f t="shared" si="1"/>
        <v>4.1002672620858878</v>
      </c>
      <c r="AA40" s="150">
        <f t="shared" si="1"/>
        <v>3.9603264453299127</v>
      </c>
      <c r="AB40" s="150">
        <f t="shared" si="1"/>
        <v>3.815365452298078</v>
      </c>
      <c r="AC40" s="150">
        <f t="shared" si="1"/>
        <v>3.6646091041091733</v>
      </c>
      <c r="AD40" s="150">
        <f t="shared" si="1"/>
        <v>3.5867525238681557</v>
      </c>
      <c r="AE40" s="150">
        <f t="shared" si="0"/>
        <v>3.5070417986713007</v>
      </c>
      <c r="AF40" s="150">
        <f t="shared" si="0"/>
        <v>3.4252927360311141</v>
      </c>
    </row>
    <row r="41" spans="1:32">
      <c r="A41" s="1" t="s">
        <v>322</v>
      </c>
      <c r="B41" s="140"/>
      <c r="C41" s="1" t="s">
        <v>322</v>
      </c>
      <c r="D41" s="140"/>
      <c r="F41" s="141"/>
      <c r="G41" s="141" t="s">
        <v>1</v>
      </c>
      <c r="H41" s="141" t="s">
        <v>260</v>
      </c>
      <c r="O41" s="217"/>
      <c r="P41">
        <v>14</v>
      </c>
      <c r="Q41" s="150">
        <f t="shared" si="1"/>
        <v>8.8615926626905299</v>
      </c>
      <c r="R41" s="150">
        <f t="shared" si="1"/>
        <v>6.5148841022476898</v>
      </c>
      <c r="S41" s="150">
        <f t="shared" si="1"/>
        <v>5.5638858432246909</v>
      </c>
      <c r="T41" s="150">
        <f t="shared" si="1"/>
        <v>5.0353779734243762</v>
      </c>
      <c r="U41" s="150">
        <f t="shared" si="1"/>
        <v>4.6949635792239697</v>
      </c>
      <c r="V41" s="150">
        <f t="shared" si="1"/>
        <v>4.4558200260398415</v>
      </c>
      <c r="W41" s="150">
        <f t="shared" si="1"/>
        <v>4.2778818534992631</v>
      </c>
      <c r="X41" s="150">
        <f t="shared" si="1"/>
        <v>4.1399460752498225</v>
      </c>
      <c r="Y41" s="150">
        <f t="shared" si="1"/>
        <v>4.0296803370219134</v>
      </c>
      <c r="Z41" s="150">
        <f t="shared" si="1"/>
        <v>3.9393963714538067</v>
      </c>
      <c r="AA41" s="150">
        <f t="shared" si="1"/>
        <v>3.8001408374759587</v>
      </c>
      <c r="AB41" s="150">
        <f t="shared" si="1"/>
        <v>3.65569729101031</v>
      </c>
      <c r="AC41" s="150">
        <f t="shared" si="1"/>
        <v>3.505222340094992</v>
      </c>
      <c r="AD41" s="150">
        <f t="shared" si="1"/>
        <v>3.4273873673787625</v>
      </c>
      <c r="AE41" s="150">
        <f t="shared" si="0"/>
        <v>3.3475961022813321</v>
      </c>
      <c r="AF41" s="150">
        <f t="shared" si="0"/>
        <v>3.2656412744359891</v>
      </c>
    </row>
    <row r="42" spans="1:32">
      <c r="A42" s="1" t="s">
        <v>323</v>
      </c>
      <c r="B42" s="140"/>
      <c r="C42" s="1" t="s">
        <v>323</v>
      </c>
      <c r="D42" s="140"/>
      <c r="F42" s="10" t="s">
        <v>51</v>
      </c>
      <c r="G42" s="10">
        <v>826.75</v>
      </c>
      <c r="H42" s="10">
        <v>835.75</v>
      </c>
      <c r="O42" s="217"/>
      <c r="P42">
        <v>15</v>
      </c>
      <c r="Q42" s="150">
        <f t="shared" si="1"/>
        <v>8.6831168138650661</v>
      </c>
      <c r="R42" s="150">
        <f t="shared" si="1"/>
        <v>6.3588734807313383</v>
      </c>
      <c r="S42" s="150">
        <f t="shared" si="1"/>
        <v>5.4169648626883067</v>
      </c>
      <c r="T42" s="150">
        <f t="shared" si="1"/>
        <v>4.8932095894139831</v>
      </c>
      <c r="U42" s="150">
        <f t="shared" si="1"/>
        <v>4.5556139843557464</v>
      </c>
      <c r="V42" s="150">
        <f t="shared" si="1"/>
        <v>4.3182730538753269</v>
      </c>
      <c r="W42" s="150">
        <f t="shared" si="1"/>
        <v>4.1415463073133925</v>
      </c>
      <c r="X42" s="150">
        <f t="shared" si="1"/>
        <v>4.0044531865348176</v>
      </c>
      <c r="Y42" s="150">
        <f t="shared" si="1"/>
        <v>3.8947881072458843</v>
      </c>
      <c r="Z42" s="150">
        <f t="shared" si="1"/>
        <v>3.8049397460740799</v>
      </c>
      <c r="AA42" s="150">
        <f t="shared" si="1"/>
        <v>3.6662397837383818</v>
      </c>
      <c r="AB42" s="150">
        <f t="shared" si="1"/>
        <v>3.522193676841229</v>
      </c>
      <c r="AC42" s="150">
        <f t="shared" si="1"/>
        <v>3.3718915822481321</v>
      </c>
      <c r="AD42" s="150">
        <f t="shared" si="1"/>
        <v>3.2940285939690055</v>
      </c>
      <c r="AE42" s="150">
        <f t="shared" si="0"/>
        <v>3.2141101833962304</v>
      </c>
      <c r="AF42" s="150">
        <f t="shared" si="0"/>
        <v>3.1319055699854834</v>
      </c>
    </row>
    <row r="43" spans="1:32">
      <c r="A43" s="1" t="s">
        <v>324</v>
      </c>
      <c r="B43" s="140"/>
      <c r="C43" s="1" t="s">
        <v>324</v>
      </c>
      <c r="D43" s="140"/>
      <c r="F43" s="10" t="s">
        <v>176</v>
      </c>
      <c r="G43" s="10">
        <v>521.65909090909088</v>
      </c>
      <c r="H43" s="10">
        <v>1183.6428571428571</v>
      </c>
      <c r="O43" s="217"/>
      <c r="P43">
        <v>16</v>
      </c>
      <c r="Q43" s="150">
        <f t="shared" si="1"/>
        <v>8.5309652803906211</v>
      </c>
      <c r="R43" s="150">
        <f t="shared" si="1"/>
        <v>6.2262352803748033</v>
      </c>
      <c r="S43" s="150">
        <f t="shared" si="1"/>
        <v>5.292214051991774</v>
      </c>
      <c r="T43" s="150">
        <f t="shared" si="1"/>
        <v>4.7725779998133984</v>
      </c>
      <c r="U43" s="150">
        <f t="shared" si="1"/>
        <v>4.437420495091148</v>
      </c>
      <c r="V43" s="150">
        <f t="shared" si="1"/>
        <v>4.2016337043800576</v>
      </c>
      <c r="W43" s="150">
        <f t="shared" si="1"/>
        <v>4.0259465910105856</v>
      </c>
      <c r="X43" s="150">
        <f t="shared" si="1"/>
        <v>3.8895721400399905</v>
      </c>
      <c r="Y43" s="150">
        <f t="shared" si="1"/>
        <v>3.7804151700297952</v>
      </c>
      <c r="Z43" s="150">
        <f t="shared" si="1"/>
        <v>3.6909314180143289</v>
      </c>
      <c r="AA43" s="150">
        <f t="shared" si="1"/>
        <v>3.5526867432745846</v>
      </c>
      <c r="AB43" s="150">
        <f t="shared" si="1"/>
        <v>3.4089468725344707</v>
      </c>
      <c r="AC43" s="150">
        <f t="shared" si="1"/>
        <v>3.2587373639867305</v>
      </c>
      <c r="AD43" s="150">
        <f t="shared" si="1"/>
        <v>3.1808107607300169</v>
      </c>
      <c r="AE43" s="150">
        <f t="shared" si="0"/>
        <v>3.1007326391527528</v>
      </c>
      <c r="AF43" s="150">
        <f t="shared" si="0"/>
        <v>3.0182483819477808</v>
      </c>
    </row>
    <row r="44" spans="1:32">
      <c r="A44" s="1" t="s">
        <v>325</v>
      </c>
      <c r="B44" s="140"/>
      <c r="C44" s="1" t="s">
        <v>325</v>
      </c>
      <c r="D44" s="140"/>
      <c r="F44" s="10" t="s">
        <v>275</v>
      </c>
      <c r="G44" s="10">
        <v>12</v>
      </c>
      <c r="H44" s="10">
        <v>8</v>
      </c>
      <c r="O44" s="217"/>
      <c r="P44">
        <v>17</v>
      </c>
      <c r="Q44" s="150">
        <f t="shared" si="1"/>
        <v>8.3997401374519036</v>
      </c>
      <c r="R44" s="150">
        <f t="shared" si="1"/>
        <v>6.1121137158606214</v>
      </c>
      <c r="S44" s="150">
        <f t="shared" si="1"/>
        <v>5.1849999175433155</v>
      </c>
      <c r="T44" s="150">
        <f t="shared" si="1"/>
        <v>4.6689676020396309</v>
      </c>
      <c r="U44" s="150">
        <f t="shared" si="1"/>
        <v>4.3359390825547237</v>
      </c>
      <c r="V44" s="150">
        <f t="shared" si="1"/>
        <v>4.1015053260787138</v>
      </c>
      <c r="W44" s="150">
        <f t="shared" si="1"/>
        <v>3.9267193887013017</v>
      </c>
      <c r="X44" s="150">
        <f t="shared" si="1"/>
        <v>3.7909641783344243</v>
      </c>
      <c r="Y44" s="150">
        <f t="shared" si="1"/>
        <v>3.68224152415796</v>
      </c>
      <c r="Z44" s="150">
        <f t="shared" si="1"/>
        <v>3.5930661337209333</v>
      </c>
      <c r="AA44" s="150">
        <f t="shared" si="1"/>
        <v>3.4551980994507652</v>
      </c>
      <c r="AB44" s="150">
        <f t="shared" si="1"/>
        <v>3.3116942798682194</v>
      </c>
      <c r="AC44" s="150">
        <f t="shared" si="1"/>
        <v>3.1615175367367216</v>
      </c>
      <c r="AD44" s="150">
        <f t="shared" si="1"/>
        <v>3.0835017976024321</v>
      </c>
      <c r="AE44" s="150">
        <f t="shared" si="0"/>
        <v>3.0032414559681468</v>
      </c>
      <c r="AF44" s="150">
        <f t="shared" si="0"/>
        <v>2.9204578239495325</v>
      </c>
    </row>
    <row r="45" spans="1:32">
      <c r="A45" s="1" t="s">
        <v>326</v>
      </c>
      <c r="B45" s="140"/>
      <c r="C45" s="1" t="s">
        <v>326</v>
      </c>
      <c r="D45" s="140"/>
      <c r="F45" s="10" t="s">
        <v>327</v>
      </c>
      <c r="G45" s="10">
        <v>779.09722222222217</v>
      </c>
      <c r="H45" s="10"/>
      <c r="O45" s="217"/>
      <c r="P45">
        <v>18</v>
      </c>
      <c r="Q45" s="150">
        <f t="shared" ref="Q45:AD57" si="2">FINV($Q$24,Q$27,$P45)</f>
        <v>8.2854195445820018</v>
      </c>
      <c r="R45" s="150">
        <f t="shared" si="2"/>
        <v>6.0129048348626437</v>
      </c>
      <c r="S45" s="150">
        <f t="shared" si="2"/>
        <v>5.091889520723079</v>
      </c>
      <c r="T45" s="150">
        <f t="shared" si="2"/>
        <v>4.579035966684911</v>
      </c>
      <c r="U45" s="150">
        <f t="shared" si="2"/>
        <v>4.2478821493943926</v>
      </c>
      <c r="V45" s="150">
        <f t="shared" si="2"/>
        <v>4.0146365074542949</v>
      </c>
      <c r="W45" s="150">
        <f t="shared" si="2"/>
        <v>3.8406386604150295</v>
      </c>
      <c r="X45" s="150">
        <f t="shared" si="2"/>
        <v>3.7054218812791406</v>
      </c>
      <c r="Y45" s="150">
        <f t="shared" si="2"/>
        <v>3.5970739136540626</v>
      </c>
      <c r="Z45" s="150">
        <f t="shared" si="2"/>
        <v>3.508161729810821</v>
      </c>
      <c r="AA45" s="150">
        <f t="shared" si="2"/>
        <v>3.3706078724156825</v>
      </c>
      <c r="AB45" s="150">
        <f t="shared" si="2"/>
        <v>3.2272855072659592</v>
      </c>
      <c r="AC45" s="150">
        <f t="shared" si="2"/>
        <v>3.0770967204079165</v>
      </c>
      <c r="AD45" s="150">
        <f t="shared" si="2"/>
        <v>2.9989736636972086</v>
      </c>
      <c r="AE45" s="150">
        <f t="shared" si="0"/>
        <v>2.9185158835105671</v>
      </c>
      <c r="AF45" s="150">
        <f t="shared" si="0"/>
        <v>2.8354204686815558</v>
      </c>
    </row>
    <row r="46" spans="1:32">
      <c r="A46" s="1" t="s">
        <v>328</v>
      </c>
      <c r="B46" s="140"/>
      <c r="C46" s="1" t="s">
        <v>328</v>
      </c>
      <c r="D46" s="140"/>
      <c r="F46" s="10" t="s">
        <v>277</v>
      </c>
      <c r="G46" s="10">
        <v>0</v>
      </c>
      <c r="H46" s="10"/>
      <c r="O46" s="217"/>
      <c r="P46">
        <v>19</v>
      </c>
      <c r="Q46" s="150">
        <f t="shared" si="2"/>
        <v>8.1849468085864707</v>
      </c>
      <c r="R46" s="150">
        <f t="shared" si="2"/>
        <v>5.9258790223543851</v>
      </c>
      <c r="S46" s="150">
        <f t="shared" si="2"/>
        <v>5.0102868440026285</v>
      </c>
      <c r="T46" s="150">
        <f t="shared" si="2"/>
        <v>4.5002576989915841</v>
      </c>
      <c r="U46" s="150">
        <f t="shared" si="2"/>
        <v>4.1707669795395255</v>
      </c>
      <c r="V46" s="150">
        <f t="shared" si="2"/>
        <v>3.9385726155771987</v>
      </c>
      <c r="W46" s="150">
        <f t="shared" si="2"/>
        <v>3.7652693947433251</v>
      </c>
      <c r="X46" s="150">
        <f t="shared" si="2"/>
        <v>3.6305245828065624</v>
      </c>
      <c r="Y46" s="150">
        <f t="shared" si="2"/>
        <v>3.5225025400149415</v>
      </c>
      <c r="Z46" s="150">
        <f t="shared" si="2"/>
        <v>3.4338168830822813</v>
      </c>
      <c r="AA46" s="150">
        <f t="shared" si="2"/>
        <v>3.2965270299729497</v>
      </c>
      <c r="AB46" s="150">
        <f t="shared" si="2"/>
        <v>3.1533432509027755</v>
      </c>
      <c r="AC46" s="150">
        <f t="shared" si="2"/>
        <v>3.0031087719027791</v>
      </c>
      <c r="AD46" s="150">
        <f t="shared" si="2"/>
        <v>2.9248656192319027</v>
      </c>
      <c r="AE46" s="150">
        <f t="shared" si="0"/>
        <v>2.8442005184804708</v>
      </c>
      <c r="AF46" s="150">
        <f t="shared" si="0"/>
        <v>2.7607862531771552</v>
      </c>
    </row>
    <row r="47" spans="1:32">
      <c r="A47" s="1" t="s">
        <v>329</v>
      </c>
      <c r="B47" s="140"/>
      <c r="C47" s="1" t="s">
        <v>329</v>
      </c>
      <c r="D47" s="140"/>
      <c r="F47" s="10" t="s">
        <v>247</v>
      </c>
      <c r="G47" s="10">
        <v>18</v>
      </c>
      <c r="H47" s="10"/>
      <c r="O47" s="217"/>
      <c r="P47">
        <v>20</v>
      </c>
      <c r="Q47" s="150">
        <f t="shared" si="2"/>
        <v>8.0959580462266878</v>
      </c>
      <c r="R47" s="150">
        <f t="shared" si="2"/>
        <v>5.8489319246721028</v>
      </c>
      <c r="S47" s="150">
        <f t="shared" si="2"/>
        <v>4.9381933827810727</v>
      </c>
      <c r="T47" s="150">
        <f t="shared" si="2"/>
        <v>4.4306901615212286</v>
      </c>
      <c r="U47" s="150">
        <f t="shared" si="2"/>
        <v>4.1026846292431784</v>
      </c>
      <c r="V47" s="150">
        <f t="shared" si="2"/>
        <v>3.8714268152246145</v>
      </c>
      <c r="W47" s="150">
        <f t="shared" si="2"/>
        <v>3.6987401521576801</v>
      </c>
      <c r="X47" s="150">
        <f t="shared" si="2"/>
        <v>3.5644120534007291</v>
      </c>
      <c r="Y47" s="150">
        <f t="shared" si="2"/>
        <v>3.4566756316185954</v>
      </c>
      <c r="Z47" s="150">
        <f t="shared" si="2"/>
        <v>3.3681863892942889</v>
      </c>
      <c r="AA47" s="150">
        <f t="shared" si="2"/>
        <v>3.2311198313393437</v>
      </c>
      <c r="AB47" s="150">
        <f t="shared" si="2"/>
        <v>3.0880407076993981</v>
      </c>
      <c r="AC47" s="150">
        <f t="shared" si="2"/>
        <v>2.9377352776602272</v>
      </c>
      <c r="AD47" s="150">
        <f t="shared" si="2"/>
        <v>2.8593632644176932</v>
      </c>
      <c r="AE47" s="150">
        <f t="shared" si="0"/>
        <v>2.7784848958990063</v>
      </c>
      <c r="AF47" s="150">
        <f t="shared" si="0"/>
        <v>2.6947486297127732</v>
      </c>
    </row>
    <row r="48" spans="1:32">
      <c r="A48" s="1" t="s">
        <v>330</v>
      </c>
      <c r="B48" s="140"/>
      <c r="C48" s="1" t="s">
        <v>330</v>
      </c>
      <c r="D48" s="140"/>
      <c r="F48" s="10" t="s">
        <v>331</v>
      </c>
      <c r="G48" s="10">
        <v>-0.70642701678746778</v>
      </c>
      <c r="H48" s="10"/>
      <c r="O48" s="217"/>
      <c r="P48">
        <v>21</v>
      </c>
      <c r="Q48" s="150">
        <f t="shared" si="2"/>
        <v>8.0165969243440678</v>
      </c>
      <c r="R48" s="150">
        <f t="shared" si="2"/>
        <v>5.7804156883030107</v>
      </c>
      <c r="S48" s="150">
        <f t="shared" si="2"/>
        <v>4.8740461975726319</v>
      </c>
      <c r="T48" s="150">
        <f t="shared" si="2"/>
        <v>4.3688151741603516</v>
      </c>
      <c r="U48" s="150">
        <f t="shared" si="2"/>
        <v>4.0421438595389194</v>
      </c>
      <c r="V48" s="150">
        <f t="shared" si="2"/>
        <v>3.8117254973481511</v>
      </c>
      <c r="W48" s="150">
        <f t="shared" si="2"/>
        <v>3.6395895583195683</v>
      </c>
      <c r="X48" s="150">
        <f t="shared" si="2"/>
        <v>3.5056317947177318</v>
      </c>
      <c r="Y48" s="150">
        <f t="shared" si="2"/>
        <v>3.398147357747904</v>
      </c>
      <c r="Z48" s="150">
        <f t="shared" si="2"/>
        <v>3.3098295717163877</v>
      </c>
      <c r="AA48" s="150">
        <f t="shared" si="2"/>
        <v>3.1729529765865818</v>
      </c>
      <c r="AB48" s="150">
        <f t="shared" si="2"/>
        <v>3.0299514668467804</v>
      </c>
      <c r="AC48" s="150">
        <f t="shared" si="2"/>
        <v>2.8795561931451585</v>
      </c>
      <c r="AD48" s="150">
        <f t="shared" si="2"/>
        <v>2.8010495573460474</v>
      </c>
      <c r="AE48" s="150">
        <f t="shared" si="0"/>
        <v>2.719954889781131</v>
      </c>
      <c r="AF48" s="150">
        <f t="shared" si="0"/>
        <v>2.635896354713851</v>
      </c>
    </row>
    <row r="49" spans="1:32">
      <c r="A49" s="1" t="s">
        <v>332</v>
      </c>
      <c r="B49" s="140"/>
      <c r="C49" s="1" t="s">
        <v>332</v>
      </c>
      <c r="D49" s="140"/>
      <c r="F49" s="10" t="s">
        <v>333</v>
      </c>
      <c r="G49" s="10">
        <v>0.24448336982254854</v>
      </c>
      <c r="H49" s="10"/>
      <c r="O49" s="217"/>
      <c r="P49">
        <v>22</v>
      </c>
      <c r="Q49" s="150">
        <f t="shared" si="2"/>
        <v>7.945385701463243</v>
      </c>
      <c r="R49" s="150">
        <f t="shared" si="2"/>
        <v>5.7190219125422441</v>
      </c>
      <c r="S49" s="150">
        <f t="shared" si="2"/>
        <v>4.8166057785034475</v>
      </c>
      <c r="T49" s="150">
        <f t="shared" si="2"/>
        <v>4.3134294970405644</v>
      </c>
      <c r="U49" s="150">
        <f t="shared" si="2"/>
        <v>3.9879632211719489</v>
      </c>
      <c r="V49" s="150">
        <f t="shared" si="2"/>
        <v>3.7583014350954169</v>
      </c>
      <c r="W49" s="150">
        <f t="shared" si="2"/>
        <v>3.5866602243960202</v>
      </c>
      <c r="X49" s="150">
        <f t="shared" si="2"/>
        <v>3.4530335272033019</v>
      </c>
      <c r="Y49" s="150">
        <f t="shared" si="2"/>
        <v>3.3457727566465802</v>
      </c>
      <c r="Z49" s="150">
        <f t="shared" si="2"/>
        <v>3.257605560149921</v>
      </c>
      <c r="AA49" s="150">
        <f t="shared" si="2"/>
        <v>3.1208914102544743</v>
      </c>
      <c r="AB49" s="150">
        <f t="shared" si="2"/>
        <v>2.9779458373997549</v>
      </c>
      <c r="AC49" s="150">
        <f t="shared" si="2"/>
        <v>2.8274466974346728</v>
      </c>
      <c r="AD49" s="150">
        <f t="shared" si="2"/>
        <v>2.7488019350030477</v>
      </c>
      <c r="AE49" s="150">
        <f t="shared" si="0"/>
        <v>2.6674901037715353</v>
      </c>
      <c r="AF49" s="150">
        <f t="shared" si="0"/>
        <v>2.5831111531624096</v>
      </c>
    </row>
    <row r="50" spans="1:32">
      <c r="A50" s="1" t="s">
        <v>334</v>
      </c>
      <c r="B50" s="140"/>
      <c r="C50" s="1" t="s">
        <v>334</v>
      </c>
      <c r="D50" s="140"/>
      <c r="F50" s="10" t="s">
        <v>335</v>
      </c>
      <c r="G50" s="10">
        <v>1.3303909436421164</v>
      </c>
      <c r="H50" s="10"/>
      <c r="O50" s="217"/>
      <c r="P50">
        <v>23</v>
      </c>
      <c r="Q50" s="150">
        <f t="shared" si="2"/>
        <v>7.881133607781992</v>
      </c>
      <c r="R50" s="150">
        <f t="shared" si="2"/>
        <v>5.6636987681555571</v>
      </c>
      <c r="S50" s="150">
        <f t="shared" si="2"/>
        <v>4.7648767601912585</v>
      </c>
      <c r="T50" s="150">
        <f t="shared" si="2"/>
        <v>4.2635674595373789</v>
      </c>
      <c r="U50" s="150">
        <f t="shared" si="2"/>
        <v>3.9391948524416911</v>
      </c>
      <c r="V50" s="150">
        <f t="shared" si="2"/>
        <v>3.7102183613678825</v>
      </c>
      <c r="W50" s="150">
        <f t="shared" si="2"/>
        <v>3.5390238779808483</v>
      </c>
      <c r="X50" s="150">
        <f t="shared" si="2"/>
        <v>3.4056947336794687</v>
      </c>
      <c r="Y50" s="150">
        <f t="shared" si="2"/>
        <v>3.2986335974658427</v>
      </c>
      <c r="Z50" s="150">
        <f t="shared" si="2"/>
        <v>3.2105994060358576</v>
      </c>
      <c r="AA50" s="150">
        <f t="shared" si="2"/>
        <v>3.0740248138958082</v>
      </c>
      <c r="AB50" s="150">
        <f t="shared" si="2"/>
        <v>2.9311177166273037</v>
      </c>
      <c r="AC50" s="150">
        <f t="shared" si="2"/>
        <v>2.780504438534118</v>
      </c>
      <c r="AD50" s="150">
        <f t="shared" si="2"/>
        <v>2.7017197489718212</v>
      </c>
      <c r="AE50" s="150">
        <f t="shared" si="0"/>
        <v>2.6201914995600761</v>
      </c>
      <c r="AF50" s="150">
        <f t="shared" si="0"/>
        <v>2.5354955429103869</v>
      </c>
    </row>
    <row r="51" spans="1:32">
      <c r="A51" s="1" t="s">
        <v>334</v>
      </c>
      <c r="B51" s="140"/>
      <c r="C51" s="1" t="s">
        <v>334</v>
      </c>
      <c r="D51" s="140"/>
      <c r="F51" s="10" t="s">
        <v>336</v>
      </c>
      <c r="G51" s="10">
        <v>0.48896673964509707</v>
      </c>
      <c r="H51" s="10"/>
      <c r="O51" s="217"/>
      <c r="P51">
        <v>24</v>
      </c>
      <c r="Q51" s="150">
        <f t="shared" si="2"/>
        <v>7.8228705532715477</v>
      </c>
      <c r="R51" s="150">
        <f t="shared" si="2"/>
        <v>5.6135912115239304</v>
      </c>
      <c r="S51" s="150">
        <f t="shared" si="2"/>
        <v>4.7180508084559403</v>
      </c>
      <c r="T51" s="150">
        <f t="shared" si="2"/>
        <v>4.2184452674351487</v>
      </c>
      <c r="U51" s="150">
        <f t="shared" si="2"/>
        <v>3.8950696521499122</v>
      </c>
      <c r="V51" s="150">
        <f t="shared" si="2"/>
        <v>3.6667167180340234</v>
      </c>
      <c r="W51" s="150">
        <f t="shared" si="2"/>
        <v>3.4959275205945444</v>
      </c>
      <c r="X51" s="150">
        <f t="shared" si="2"/>
        <v>3.3628671200434033</v>
      </c>
      <c r="Y51" s="150">
        <f t="shared" si="2"/>
        <v>3.2559850745501384</v>
      </c>
      <c r="Z51" s="150">
        <f t="shared" si="2"/>
        <v>3.1680689620802989</v>
      </c>
      <c r="AA51" s="150">
        <f t="shared" si="2"/>
        <v>3.0316147612560274</v>
      </c>
      <c r="AB51" s="150">
        <f t="shared" si="2"/>
        <v>2.888732018579808</v>
      </c>
      <c r="AC51" s="150">
        <f t="shared" si="2"/>
        <v>2.737997235310119</v>
      </c>
      <c r="AD51" s="150">
        <f t="shared" si="2"/>
        <v>2.6590721052355768</v>
      </c>
      <c r="AE51" s="150">
        <f t="shared" si="0"/>
        <v>2.5773293762467526</v>
      </c>
      <c r="AF51" s="150">
        <f t="shared" si="0"/>
        <v>2.492320956064443</v>
      </c>
    </row>
    <row r="52" spans="1:32" ht="15.75" thickBot="1">
      <c r="A52" s="1" t="s">
        <v>334</v>
      </c>
      <c r="B52" s="140"/>
      <c r="C52" s="1" t="s">
        <v>334</v>
      </c>
      <c r="D52" s="140"/>
      <c r="F52" s="12" t="s">
        <v>337</v>
      </c>
      <c r="G52" s="12">
        <v>1.7340635923093939</v>
      </c>
      <c r="H52" s="12"/>
      <c r="O52" s="217"/>
      <c r="P52">
        <v>25</v>
      </c>
      <c r="Q52" s="150">
        <f t="shared" si="2"/>
        <v>7.769798368144496</v>
      </c>
      <c r="R52" s="150">
        <f t="shared" si="2"/>
        <v>5.5679971343827663</v>
      </c>
      <c r="S52" s="150">
        <f t="shared" si="2"/>
        <v>4.675464783442898</v>
      </c>
      <c r="T52" s="150">
        <f t="shared" si="2"/>
        <v>4.1774202347235789</v>
      </c>
      <c r="U52" s="150">
        <f t="shared" si="2"/>
        <v>3.8549571646937935</v>
      </c>
      <c r="V52" s="150">
        <f t="shared" si="2"/>
        <v>3.6271739697689522</v>
      </c>
      <c r="W52" s="150">
        <f t="shared" si="2"/>
        <v>3.4567540467379425</v>
      </c>
      <c r="X52" s="150">
        <f t="shared" si="2"/>
        <v>3.3239374604075147</v>
      </c>
      <c r="Y52" s="150">
        <f t="shared" si="2"/>
        <v>3.2172168263266228</v>
      </c>
      <c r="Z52" s="150">
        <f t="shared" si="2"/>
        <v>3.1294060386845608</v>
      </c>
      <c r="AA52" s="150">
        <f t="shared" si="2"/>
        <v>2.9930560785787286</v>
      </c>
      <c r="AB52" s="150">
        <f t="shared" si="2"/>
        <v>2.8501862358674783</v>
      </c>
      <c r="AC52" s="150">
        <f t="shared" si="2"/>
        <v>2.6993248399812666</v>
      </c>
      <c r="AD52" s="150">
        <f t="shared" si="2"/>
        <v>2.6202597277113266</v>
      </c>
      <c r="AE52" s="150">
        <f t="shared" si="0"/>
        <v>2.5383053361426873</v>
      </c>
      <c r="AF52" s="150">
        <f t="shared" si="0"/>
        <v>2.4529898072477279</v>
      </c>
    </row>
    <row r="53" spans="1:32">
      <c r="A53" s="1" t="s">
        <v>334</v>
      </c>
      <c r="B53" s="140"/>
      <c r="C53" s="1" t="s">
        <v>334</v>
      </c>
      <c r="D53" s="140"/>
      <c r="F53" s="144"/>
      <c r="G53" s="144"/>
      <c r="H53" s="144"/>
      <c r="O53" s="217"/>
      <c r="P53">
        <v>30</v>
      </c>
      <c r="Q53" s="150">
        <f t="shared" si="2"/>
        <v>7.5624760846754917</v>
      </c>
      <c r="R53" s="150">
        <f t="shared" si="2"/>
        <v>5.3903458632348258</v>
      </c>
      <c r="S53" s="150">
        <f t="shared" si="2"/>
        <v>4.5097395645470932</v>
      </c>
      <c r="T53" s="150">
        <f t="shared" si="2"/>
        <v>4.0178768366616762</v>
      </c>
      <c r="U53" s="150">
        <f t="shared" si="2"/>
        <v>3.6990188113816842</v>
      </c>
      <c r="V53" s="150">
        <f t="shared" si="2"/>
        <v>3.4734766087492783</v>
      </c>
      <c r="W53" s="150">
        <f t="shared" si="2"/>
        <v>3.3044988868022891</v>
      </c>
      <c r="X53" s="150">
        <f t="shared" si="2"/>
        <v>3.1726239635993716</v>
      </c>
      <c r="Y53" s="150">
        <f t="shared" si="2"/>
        <v>3.0665159080031739</v>
      </c>
      <c r="Z53" s="150">
        <f t="shared" si="2"/>
        <v>2.9790935637216682</v>
      </c>
      <c r="AA53" s="150">
        <f t="shared" si="2"/>
        <v>2.843095199343578</v>
      </c>
      <c r="AB53" s="150">
        <f t="shared" si="2"/>
        <v>2.700180341765182</v>
      </c>
      <c r="AC53" s="150">
        <f t="shared" si="2"/>
        <v>2.5486591801723089</v>
      </c>
      <c r="AD53" s="150">
        <f t="shared" si="2"/>
        <v>2.4689209804642029</v>
      </c>
      <c r="AE53" s="150">
        <f t="shared" si="0"/>
        <v>2.3859673534931067</v>
      </c>
      <c r="AF53" s="150">
        <f t="shared" si="0"/>
        <v>2.2992110715377514</v>
      </c>
    </row>
    <row r="54" spans="1:32">
      <c r="A54" s="1" t="s">
        <v>334</v>
      </c>
      <c r="B54" s="140"/>
      <c r="C54" s="1" t="s">
        <v>334</v>
      </c>
      <c r="D54" s="140"/>
      <c r="F54" s="144"/>
      <c r="G54" s="144"/>
      <c r="H54" s="144"/>
      <c r="O54" s="217"/>
      <c r="P54">
        <v>40</v>
      </c>
      <c r="Q54" s="150">
        <f t="shared" si="2"/>
        <v>7.3140999013278893</v>
      </c>
      <c r="R54" s="150">
        <f t="shared" si="2"/>
        <v>5.1785082359377181</v>
      </c>
      <c r="S54" s="150">
        <f t="shared" si="2"/>
        <v>4.3125692172131842</v>
      </c>
      <c r="T54" s="150">
        <f t="shared" si="2"/>
        <v>3.8282935494739592</v>
      </c>
      <c r="U54" s="150">
        <f t="shared" si="2"/>
        <v>3.5138398329299987</v>
      </c>
      <c r="V54" s="150">
        <f t="shared" si="2"/>
        <v>3.2910123893740071</v>
      </c>
      <c r="W54" s="150">
        <f t="shared" si="2"/>
        <v>3.1237570567200894</v>
      </c>
      <c r="X54" s="150">
        <f t="shared" si="2"/>
        <v>2.992980869843092</v>
      </c>
      <c r="Y54" s="150">
        <f t="shared" si="2"/>
        <v>2.8875604403573751</v>
      </c>
      <c r="Z54" s="150">
        <f t="shared" si="2"/>
        <v>2.8005451072113932</v>
      </c>
      <c r="AA54" s="150">
        <f t="shared" si="2"/>
        <v>2.6648273563528182</v>
      </c>
      <c r="AB54" s="150">
        <f t="shared" si="2"/>
        <v>2.5216156866456299</v>
      </c>
      <c r="AC54" s="150">
        <f t="shared" si="2"/>
        <v>2.3688761223332158</v>
      </c>
      <c r="AD54" s="150">
        <f t="shared" si="2"/>
        <v>2.2879977098352189</v>
      </c>
      <c r="AE54" s="150">
        <f t="shared" si="0"/>
        <v>2.20338204500485</v>
      </c>
      <c r="AF54" s="150">
        <f t="shared" si="0"/>
        <v>2.1142324537662791</v>
      </c>
    </row>
    <row r="55" spans="1:32">
      <c r="A55" s="1" t="s">
        <v>334</v>
      </c>
      <c r="B55" s="140"/>
      <c r="C55" s="1" t="s">
        <v>334</v>
      </c>
      <c r="D55" s="140"/>
      <c r="F55" s="151" t="s">
        <v>338</v>
      </c>
      <c r="G55" s="144"/>
      <c r="H55" s="144"/>
      <c r="O55" s="217"/>
      <c r="P55">
        <v>60</v>
      </c>
      <c r="Q55" s="150">
        <f t="shared" si="2"/>
        <v>7.0771057131027746</v>
      </c>
      <c r="R55" s="150">
        <f t="shared" si="2"/>
        <v>4.977432035446018</v>
      </c>
      <c r="S55" s="150">
        <f t="shared" si="2"/>
        <v>4.125891941765401</v>
      </c>
      <c r="T55" s="150">
        <f t="shared" si="2"/>
        <v>3.6490474911583188</v>
      </c>
      <c r="U55" s="150">
        <f t="shared" si="2"/>
        <v>3.338884421782736</v>
      </c>
      <c r="V55" s="150">
        <f t="shared" si="2"/>
        <v>3.1186742716220044</v>
      </c>
      <c r="W55" s="150">
        <f t="shared" si="2"/>
        <v>2.9530492082689461</v>
      </c>
      <c r="X55" s="150">
        <f t="shared" si="2"/>
        <v>2.8232802155408168</v>
      </c>
      <c r="Y55" s="150">
        <f t="shared" si="2"/>
        <v>2.7184543865613184</v>
      </c>
      <c r="Z55" s="150">
        <f t="shared" si="2"/>
        <v>2.6317507753337717</v>
      </c>
      <c r="AA55" s="150">
        <f t="shared" si="2"/>
        <v>2.4961159474241237</v>
      </c>
      <c r="AB55" s="150">
        <f t="shared" si="2"/>
        <v>2.3522969868369321</v>
      </c>
      <c r="AC55" s="150">
        <f t="shared" si="2"/>
        <v>2.1978059059219852</v>
      </c>
      <c r="AD55" s="150">
        <f t="shared" si="2"/>
        <v>2.1153643348052595</v>
      </c>
      <c r="AE55" s="150">
        <f t="shared" si="0"/>
        <v>2.0284785155981302</v>
      </c>
      <c r="AF55" s="150">
        <f t="shared" si="0"/>
        <v>1.9360184717204949</v>
      </c>
    </row>
    <row r="56" spans="1:32">
      <c r="A56" s="1" t="s">
        <v>334</v>
      </c>
      <c r="B56" s="140"/>
      <c r="C56" s="1" t="s">
        <v>334</v>
      </c>
      <c r="D56" s="140"/>
      <c r="F56" t="s">
        <v>350</v>
      </c>
      <c r="O56" s="217"/>
      <c r="P56">
        <v>120</v>
      </c>
      <c r="Q56" s="150">
        <f t="shared" si="2"/>
        <v>6.8508933988794851</v>
      </c>
      <c r="R56" s="150">
        <f t="shared" si="2"/>
        <v>4.7865097397091816</v>
      </c>
      <c r="S56" s="150">
        <f t="shared" si="2"/>
        <v>3.9490997951809792</v>
      </c>
      <c r="T56" s="150">
        <f t="shared" si="2"/>
        <v>3.4795313896341433</v>
      </c>
      <c r="U56" s="150">
        <f t="shared" si="2"/>
        <v>3.1735454732396846</v>
      </c>
      <c r="V56" s="150">
        <f t="shared" si="2"/>
        <v>2.9558540044902646</v>
      </c>
      <c r="W56" s="150">
        <f t="shared" si="2"/>
        <v>2.791764110343574</v>
      </c>
      <c r="X56" s="150">
        <f t="shared" si="2"/>
        <v>2.6629056295610649</v>
      </c>
      <c r="Y56" s="150">
        <f t="shared" si="2"/>
        <v>2.5585738816598447</v>
      </c>
      <c r="Z56" s="150">
        <f t="shared" si="2"/>
        <v>2.4720767548432248</v>
      </c>
      <c r="AA56" s="150">
        <f t="shared" si="2"/>
        <v>2.3362998094142773</v>
      </c>
      <c r="AB56" s="150">
        <f t="shared" si="2"/>
        <v>2.191504063501851</v>
      </c>
      <c r="AC56" s="150">
        <f t="shared" si="2"/>
        <v>2.034588063208024</v>
      </c>
      <c r="AD56" s="150">
        <f t="shared" si="2"/>
        <v>1.9500181026320189</v>
      </c>
      <c r="AE56" s="150">
        <f t="shared" si="0"/>
        <v>1.8600052842579076</v>
      </c>
      <c r="AF56" s="150">
        <f t="shared" si="0"/>
        <v>1.7628487831791926</v>
      </c>
    </row>
    <row r="57" spans="1:32">
      <c r="A57" s="1" t="s">
        <v>334</v>
      </c>
      <c r="B57" s="140"/>
      <c r="C57" s="1" t="s">
        <v>334</v>
      </c>
      <c r="D57" s="140"/>
      <c r="O57" s="152"/>
      <c r="P57" s="153">
        <v>100000000</v>
      </c>
      <c r="Q57" s="150">
        <f t="shared" si="2"/>
        <v>6.634896881882014</v>
      </c>
      <c r="R57" s="150">
        <f t="shared" si="2"/>
        <v>4.6051704026776861</v>
      </c>
      <c r="S57" s="150">
        <f t="shared" si="2"/>
        <v>3.7816224619758341</v>
      </c>
      <c r="T57" s="150">
        <f t="shared" si="2"/>
        <v>3.3191762883225238</v>
      </c>
      <c r="U57" s="150">
        <f t="shared" si="2"/>
        <v>3.0172546789042824</v>
      </c>
      <c r="V57" s="150">
        <f t="shared" si="2"/>
        <v>2.8019824785496894</v>
      </c>
      <c r="W57" s="150">
        <f t="shared" si="2"/>
        <v>2.6393297857466678</v>
      </c>
      <c r="X57" s="150">
        <f t="shared" si="2"/>
        <v>2.5112795913596528</v>
      </c>
      <c r="Y57" s="150">
        <f t="shared" si="2"/>
        <v>2.4073328615894649</v>
      </c>
      <c r="Z57" s="150">
        <f t="shared" si="2"/>
        <v>2.3209253408018418</v>
      </c>
      <c r="AA57" s="150">
        <f t="shared" si="2"/>
        <v>2.1847474755101457</v>
      </c>
      <c r="AB57" s="150">
        <f t="shared" si="2"/>
        <v>2.0385277991495974</v>
      </c>
      <c r="AC57" s="150">
        <f t="shared" si="2"/>
        <v>1.8783119093624916</v>
      </c>
      <c r="AD57" s="150">
        <f t="shared" si="2"/>
        <v>1.7908260297649576</v>
      </c>
      <c r="AE57" s="150">
        <f t="shared" si="0"/>
        <v>1.6964062439897436</v>
      </c>
      <c r="AF57" s="150">
        <f t="shared" si="0"/>
        <v>1.5922687010840493</v>
      </c>
    </row>
    <row r="58" spans="1:32">
      <c r="A58" s="1" t="s">
        <v>334</v>
      </c>
      <c r="B58" s="140"/>
      <c r="C58" s="1" t="s">
        <v>334</v>
      </c>
      <c r="D58" s="140"/>
      <c r="F58" t="s">
        <v>339</v>
      </c>
    </row>
    <row r="59" spans="1:32" ht="15.75" thickBot="1">
      <c r="A59" s="1" t="s">
        <v>334</v>
      </c>
      <c r="B59" s="140"/>
      <c r="C59" s="1" t="s">
        <v>334</v>
      </c>
      <c r="D59" s="140"/>
    </row>
    <row r="60" spans="1:32">
      <c r="A60" s="1" t="s">
        <v>334</v>
      </c>
      <c r="B60" s="140"/>
      <c r="C60" s="1" t="s">
        <v>334</v>
      </c>
      <c r="D60" s="140"/>
      <c r="F60" s="141"/>
      <c r="G60" s="141" t="s">
        <v>1</v>
      </c>
      <c r="H60" s="141" t="s">
        <v>260</v>
      </c>
    </row>
    <row r="61" spans="1:32">
      <c r="A61" s="1" t="s">
        <v>334</v>
      </c>
      <c r="B61" s="140"/>
      <c r="C61" s="1" t="s">
        <v>334</v>
      </c>
      <c r="D61" s="140"/>
      <c r="F61" s="10" t="s">
        <v>51</v>
      </c>
      <c r="G61" s="10">
        <v>6.4444444444444446</v>
      </c>
      <c r="H61" s="10">
        <v>9.4166666666666661</v>
      </c>
    </row>
    <row r="62" spans="1:32">
      <c r="A62" s="1" t="s">
        <v>334</v>
      </c>
      <c r="B62" s="140"/>
      <c r="C62" s="1" t="s">
        <v>334</v>
      </c>
      <c r="D62" s="140"/>
      <c r="F62" s="10" t="s">
        <v>176</v>
      </c>
      <c r="G62" s="10">
        <v>11.027777777777779</v>
      </c>
      <c r="H62" s="10">
        <v>2.6287878787878856</v>
      </c>
    </row>
    <row r="63" spans="1:32">
      <c r="A63" s="1" t="s">
        <v>334</v>
      </c>
      <c r="B63" s="140"/>
      <c r="C63" s="1" t="s">
        <v>334</v>
      </c>
      <c r="D63" s="140"/>
      <c r="F63" s="10" t="s">
        <v>275</v>
      </c>
      <c r="G63" s="10">
        <v>9</v>
      </c>
      <c r="H63" s="10">
        <v>12</v>
      </c>
    </row>
    <row r="64" spans="1:32">
      <c r="A64" s="1" t="s">
        <v>334</v>
      </c>
      <c r="B64" s="140"/>
      <c r="C64" s="1" t="s">
        <v>334</v>
      </c>
      <c r="D64" s="140"/>
      <c r="F64" s="10" t="s">
        <v>277</v>
      </c>
      <c r="G64" s="10">
        <v>0</v>
      </c>
      <c r="H64" s="10"/>
    </row>
    <row r="65" spans="1:8">
      <c r="A65" s="1" t="s">
        <v>334</v>
      </c>
      <c r="B65" s="140"/>
      <c r="C65" s="1" t="s">
        <v>334</v>
      </c>
      <c r="D65" s="140"/>
      <c r="F65" s="10" t="s">
        <v>247</v>
      </c>
      <c r="G65" s="10">
        <v>11</v>
      </c>
      <c r="H65" s="10"/>
    </row>
    <row r="66" spans="1:8">
      <c r="A66" s="1" t="s">
        <v>334</v>
      </c>
      <c r="B66" s="140"/>
      <c r="C66" s="1" t="s">
        <v>334</v>
      </c>
      <c r="D66" s="140"/>
      <c r="F66" s="10" t="s">
        <v>331</v>
      </c>
      <c r="G66" s="10">
        <v>-2.4730984255477364</v>
      </c>
      <c r="H66" s="10"/>
    </row>
    <row r="67" spans="1:8">
      <c r="A67" s="1" t="s">
        <v>334</v>
      </c>
      <c r="B67" s="140"/>
      <c r="C67" s="1" t="s">
        <v>334</v>
      </c>
      <c r="D67" s="140"/>
      <c r="F67" s="10" t="s">
        <v>333</v>
      </c>
      <c r="G67" s="10">
        <v>1.5475359664804806E-2</v>
      </c>
      <c r="H67" s="10"/>
    </row>
    <row r="68" spans="1:8">
      <c r="A68" s="1" t="s">
        <v>334</v>
      </c>
      <c r="B68" s="140"/>
      <c r="C68" s="1" t="s">
        <v>334</v>
      </c>
      <c r="D68" s="140"/>
      <c r="F68" s="10" t="s">
        <v>335</v>
      </c>
      <c r="G68" s="10">
        <v>1.3634303181966336</v>
      </c>
      <c r="H68" s="10"/>
    </row>
    <row r="69" spans="1:8">
      <c r="A69" s="1" t="s">
        <v>334</v>
      </c>
      <c r="B69" s="140"/>
      <c r="C69" s="1" t="s">
        <v>334</v>
      </c>
      <c r="D69" s="140"/>
      <c r="F69" s="10" t="s">
        <v>336</v>
      </c>
      <c r="G69" s="10">
        <v>3.0950719329609612E-2</v>
      </c>
      <c r="H69" s="10"/>
    </row>
    <row r="70" spans="1:8" ht="15.75" thickBot="1">
      <c r="A70" s="1" t="s">
        <v>334</v>
      </c>
      <c r="B70" s="140"/>
      <c r="C70" s="1" t="s">
        <v>334</v>
      </c>
      <c r="D70" s="140"/>
      <c r="F70" s="12" t="s">
        <v>337</v>
      </c>
      <c r="G70" s="12">
        <v>1.7958848142321888</v>
      </c>
      <c r="H70" s="12"/>
    </row>
    <row r="71" spans="1:8">
      <c r="A71" s="1" t="s">
        <v>334</v>
      </c>
      <c r="B71" s="140"/>
      <c r="C71" s="1" t="s">
        <v>334</v>
      </c>
      <c r="D71" s="140"/>
    </row>
    <row r="72" spans="1:8">
      <c r="A72" s="1" t="s">
        <v>334</v>
      </c>
      <c r="B72" s="140"/>
      <c r="C72" s="1" t="s">
        <v>334</v>
      </c>
      <c r="D72" s="140"/>
    </row>
    <row r="73" spans="1:8">
      <c r="A73" s="1" t="s">
        <v>334</v>
      </c>
      <c r="B73" s="140"/>
      <c r="C73" s="1" t="s">
        <v>334</v>
      </c>
      <c r="D73" s="140"/>
    </row>
    <row r="74" spans="1:8">
      <c r="A74" s="1" t="s">
        <v>334</v>
      </c>
      <c r="B74" s="140"/>
      <c r="C74" s="1" t="s">
        <v>334</v>
      </c>
      <c r="D74" s="140"/>
      <c r="F74" s="139" t="s">
        <v>340</v>
      </c>
    </row>
    <row r="75" spans="1:8">
      <c r="A75" s="1" t="s">
        <v>334</v>
      </c>
      <c r="B75" s="140"/>
      <c r="C75" s="1" t="s">
        <v>334</v>
      </c>
      <c r="D75" s="140"/>
      <c r="F75" s="144"/>
      <c r="G75" s="144"/>
      <c r="H75" s="144"/>
    </row>
    <row r="76" spans="1:8">
      <c r="A76" s="1" t="s">
        <v>334</v>
      </c>
      <c r="B76" s="140"/>
      <c r="C76" s="1" t="s">
        <v>334</v>
      </c>
      <c r="D76" s="140"/>
      <c r="F76" s="144" t="s">
        <v>341</v>
      </c>
      <c r="G76" s="144"/>
      <c r="H76" s="144"/>
    </row>
    <row r="77" spans="1:8" ht="15.75" thickBot="1">
      <c r="A77" s="1" t="s">
        <v>334</v>
      </c>
      <c r="B77" s="140"/>
      <c r="C77" s="1" t="s">
        <v>334</v>
      </c>
      <c r="D77" s="140"/>
      <c r="F77" s="144"/>
      <c r="G77" s="144"/>
      <c r="H77" s="144"/>
    </row>
    <row r="78" spans="1:8">
      <c r="A78" s="1" t="s">
        <v>334</v>
      </c>
      <c r="B78" s="140"/>
      <c r="C78" s="1" t="s">
        <v>334</v>
      </c>
      <c r="D78" s="140"/>
      <c r="F78" s="154"/>
      <c r="G78" s="154" t="s">
        <v>342</v>
      </c>
      <c r="H78" s="154" t="s">
        <v>343</v>
      </c>
    </row>
    <row r="79" spans="1:8">
      <c r="A79" s="1" t="s">
        <v>334</v>
      </c>
      <c r="B79" s="140"/>
      <c r="C79" s="1" t="s">
        <v>334</v>
      </c>
      <c r="D79" s="140"/>
      <c r="F79" s="10" t="s">
        <v>51</v>
      </c>
      <c r="G79" s="10">
        <v>7.125</v>
      </c>
      <c r="H79" s="10">
        <v>4.625</v>
      </c>
    </row>
    <row r="80" spans="1:8">
      <c r="A80" s="1" t="s">
        <v>334</v>
      </c>
      <c r="B80" s="140"/>
      <c r="C80" s="1" t="s">
        <v>334</v>
      </c>
      <c r="D80" s="140"/>
      <c r="F80" s="10" t="s">
        <v>176</v>
      </c>
      <c r="G80" s="10">
        <v>4.125</v>
      </c>
      <c r="H80" s="10">
        <v>7.9821428571428568</v>
      </c>
    </row>
    <row r="81" spans="1:8">
      <c r="A81" s="1" t="s">
        <v>334</v>
      </c>
      <c r="B81" s="140"/>
      <c r="C81" s="1" t="s">
        <v>334</v>
      </c>
      <c r="D81" s="140"/>
      <c r="F81" s="10" t="s">
        <v>275</v>
      </c>
      <c r="G81" s="10">
        <v>8</v>
      </c>
      <c r="H81" s="10">
        <v>8</v>
      </c>
    </row>
    <row r="82" spans="1:8">
      <c r="A82" s="1" t="s">
        <v>334</v>
      </c>
      <c r="B82" s="140"/>
      <c r="C82" s="1" t="s">
        <v>334</v>
      </c>
      <c r="D82" s="140"/>
      <c r="F82" s="10" t="s">
        <v>344</v>
      </c>
      <c r="G82" s="10">
        <v>0.30808846832440429</v>
      </c>
      <c r="H82" s="10"/>
    </row>
    <row r="83" spans="1:8">
      <c r="A83" s="1" t="s">
        <v>334</v>
      </c>
      <c r="B83" s="140"/>
      <c r="C83" s="1" t="s">
        <v>334</v>
      </c>
      <c r="D83" s="140"/>
      <c r="F83" s="10" t="s">
        <v>277</v>
      </c>
      <c r="G83" s="10">
        <v>0</v>
      </c>
      <c r="H83" s="10"/>
    </row>
    <row r="84" spans="1:8">
      <c r="A84" s="1" t="s">
        <v>334</v>
      </c>
      <c r="B84" s="140"/>
      <c r="C84" s="1" t="s">
        <v>334</v>
      </c>
      <c r="D84" s="140"/>
      <c r="F84" s="10" t="s">
        <v>247</v>
      </c>
      <c r="G84" s="10">
        <v>7</v>
      </c>
      <c r="H84" s="10"/>
    </row>
    <row r="85" spans="1:8">
      <c r="A85" s="1" t="s">
        <v>334</v>
      </c>
      <c r="B85" s="140"/>
      <c r="C85" s="1" t="s">
        <v>334</v>
      </c>
      <c r="D85" s="140"/>
      <c r="F85" s="10" t="s">
        <v>331</v>
      </c>
      <c r="G85" s="10">
        <v>2.4152294576982398</v>
      </c>
      <c r="H85" s="10"/>
    </row>
    <row r="86" spans="1:8">
      <c r="A86" s="1" t="s">
        <v>334</v>
      </c>
      <c r="B86" s="140"/>
      <c r="C86" s="1" t="s">
        <v>334</v>
      </c>
      <c r="D86" s="140"/>
      <c r="F86" s="10" t="s">
        <v>333</v>
      </c>
      <c r="G86" s="10">
        <v>2.3208078854712866E-2</v>
      </c>
      <c r="H86" s="10"/>
    </row>
    <row r="87" spans="1:8">
      <c r="A87" s="1" t="s">
        <v>334</v>
      </c>
      <c r="B87" s="140"/>
      <c r="C87" s="1" t="s">
        <v>334</v>
      </c>
      <c r="D87" s="140"/>
      <c r="F87" s="10" t="s">
        <v>335</v>
      </c>
      <c r="G87" s="10">
        <v>2.9979515663577763</v>
      </c>
      <c r="H87" s="10"/>
    </row>
    <row r="88" spans="1:8">
      <c r="A88" s="1" t="s">
        <v>334</v>
      </c>
      <c r="B88" s="140"/>
      <c r="C88" s="1" t="s">
        <v>334</v>
      </c>
      <c r="D88" s="140"/>
      <c r="F88" s="10" t="s">
        <v>336</v>
      </c>
      <c r="G88" s="10">
        <v>4.6416157709425733E-2</v>
      </c>
      <c r="H88" s="10"/>
    </row>
    <row r="89" spans="1:8" ht="15.75" thickBot="1">
      <c r="A89" s="1" t="s">
        <v>334</v>
      </c>
      <c r="B89" s="140"/>
      <c r="C89" s="1" t="s">
        <v>334</v>
      </c>
      <c r="D89" s="140"/>
      <c r="F89" s="12" t="s">
        <v>337</v>
      </c>
      <c r="G89" s="12">
        <v>3.4994832972544687</v>
      </c>
      <c r="H89" s="12"/>
    </row>
    <row r="90" spans="1:8">
      <c r="A90" s="1" t="s">
        <v>334</v>
      </c>
      <c r="B90" s="140"/>
      <c r="C90" s="1" t="s">
        <v>334</v>
      </c>
      <c r="D90" s="140"/>
    </row>
    <row r="91" spans="1:8">
      <c r="A91" s="1" t="s">
        <v>334</v>
      </c>
      <c r="B91" s="140"/>
      <c r="C91" s="1" t="s">
        <v>334</v>
      </c>
      <c r="D91" s="140"/>
    </row>
    <row r="92" spans="1:8">
      <c r="A92" s="1" t="s">
        <v>334</v>
      </c>
      <c r="B92" s="140"/>
      <c r="C92" s="1" t="s">
        <v>334</v>
      </c>
      <c r="D92" s="140"/>
    </row>
    <row r="93" spans="1:8">
      <c r="A93" s="1" t="s">
        <v>334</v>
      </c>
      <c r="B93" s="140"/>
      <c r="C93" s="1" t="s">
        <v>334</v>
      </c>
      <c r="D93" s="140"/>
    </row>
    <row r="94" spans="1:8">
      <c r="A94" s="1" t="s">
        <v>334</v>
      </c>
      <c r="B94" s="140"/>
      <c r="C94" s="1" t="s">
        <v>334</v>
      </c>
      <c r="D94" s="140"/>
    </row>
    <row r="95" spans="1:8">
      <c r="A95" s="1" t="s">
        <v>334</v>
      </c>
      <c r="B95" s="140"/>
      <c r="C95" s="1" t="s">
        <v>334</v>
      </c>
      <c r="D95" s="140"/>
    </row>
    <row r="96" spans="1:8">
      <c r="A96" s="1" t="s">
        <v>334</v>
      </c>
      <c r="B96" s="140"/>
      <c r="C96" s="1" t="s">
        <v>334</v>
      </c>
      <c r="D96" s="140"/>
    </row>
    <row r="97" spans="1:4">
      <c r="A97" s="1" t="s">
        <v>334</v>
      </c>
      <c r="B97" s="140"/>
      <c r="C97" s="1" t="s">
        <v>334</v>
      </c>
      <c r="D97" s="140"/>
    </row>
    <row r="98" spans="1:4">
      <c r="A98" s="1" t="s">
        <v>334</v>
      </c>
      <c r="B98" s="140"/>
      <c r="C98" s="1" t="s">
        <v>334</v>
      </c>
      <c r="D98" s="140"/>
    </row>
    <row r="99" spans="1:4">
      <c r="A99" s="1" t="s">
        <v>334</v>
      </c>
      <c r="B99" s="140"/>
      <c r="C99" s="1" t="s">
        <v>334</v>
      </c>
      <c r="D99" s="140"/>
    </row>
    <row r="100" spans="1:4">
      <c r="A100" s="1" t="s">
        <v>334</v>
      </c>
      <c r="B100" s="140"/>
      <c r="C100" s="1" t="s">
        <v>334</v>
      </c>
      <c r="D100" s="140"/>
    </row>
    <row r="101" spans="1:4">
      <c r="A101" s="1" t="s">
        <v>334</v>
      </c>
      <c r="B101" s="140"/>
      <c r="C101" s="1" t="s">
        <v>334</v>
      </c>
      <c r="D101" s="140"/>
    </row>
    <row r="102" spans="1:4">
      <c r="A102" s="1" t="s">
        <v>334</v>
      </c>
      <c r="B102" s="140"/>
      <c r="C102" s="1" t="s">
        <v>334</v>
      </c>
      <c r="D102" s="140"/>
    </row>
    <row r="103" spans="1:4">
      <c r="A103" s="1" t="s">
        <v>334</v>
      </c>
      <c r="B103" s="140"/>
      <c r="C103" s="1" t="s">
        <v>334</v>
      </c>
      <c r="D103" s="140"/>
    </row>
    <row r="106" spans="1:4">
      <c r="A106" t="s">
        <v>51</v>
      </c>
      <c r="B106" s="155">
        <f>AVERAGE(Sample1)</f>
        <v>835.75</v>
      </c>
      <c r="D106" s="156">
        <f>AVERAGE(Sample2)</f>
        <v>826.75</v>
      </c>
    </row>
    <row r="107" spans="1:4">
      <c r="A107" t="s">
        <v>345</v>
      </c>
      <c r="B107" s="155">
        <f>STDEV(Sample1)</f>
        <v>34.404111050030885</v>
      </c>
      <c r="D107" s="155">
        <f>STDEV(Sample2)</f>
        <v>22.839857506321945</v>
      </c>
    </row>
    <row r="108" spans="1:4">
      <c r="A108" t="s">
        <v>94</v>
      </c>
      <c r="B108" s="155">
        <f>B107^2</f>
        <v>1183.6428571428571</v>
      </c>
      <c r="D108" s="155">
        <f>D107^2</f>
        <v>521.65909090909088</v>
      </c>
    </row>
    <row r="109" spans="1:4">
      <c r="A109" t="s">
        <v>3</v>
      </c>
      <c r="B109" s="157">
        <f>COUNT(Sample1)</f>
        <v>8</v>
      </c>
      <c r="D109" s="157">
        <f>COUNT(Sample2)</f>
        <v>12</v>
      </c>
    </row>
    <row r="111" spans="1:4">
      <c r="A111" t="s">
        <v>346</v>
      </c>
      <c r="B111">
        <v>5.5</v>
      </c>
      <c r="D111">
        <v>5.3</v>
      </c>
    </row>
    <row r="112" spans="1:4">
      <c r="A112" t="s">
        <v>347</v>
      </c>
      <c r="B112">
        <v>0.4</v>
      </c>
      <c r="D112">
        <v>0.3</v>
      </c>
    </row>
    <row r="113" spans="1:4">
      <c r="A113" t="s">
        <v>348</v>
      </c>
      <c r="B113" s="158">
        <f>B112^2</f>
        <v>0.16000000000000003</v>
      </c>
      <c r="D113" s="158">
        <f>D112^2</f>
        <v>0.09</v>
      </c>
    </row>
  </sheetData>
  <mergeCells count="5">
    <mergeCell ref="P15:R15"/>
    <mergeCell ref="O23:AF23"/>
    <mergeCell ref="O26:P27"/>
    <mergeCell ref="Q26:AF26"/>
    <mergeCell ref="O28:O56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55"/>
  <sheetViews>
    <sheetView workbookViewId="0">
      <selection sqref="A1:J1"/>
    </sheetView>
  </sheetViews>
  <sheetFormatPr defaultRowHeight="15"/>
  <cols>
    <col min="1" max="1" width="12.85546875" customWidth="1"/>
    <col min="2" max="2" width="10" bestFit="1" customWidth="1"/>
    <col min="3" max="3" width="9.42578125" bestFit="1" customWidth="1"/>
    <col min="6" max="6" width="18" bestFit="1" customWidth="1"/>
    <col min="7" max="7" width="12.28515625" bestFit="1" customWidth="1"/>
    <col min="8" max="8" width="14" bestFit="1" customWidth="1"/>
    <col min="9" max="10" width="12.28515625" bestFit="1" customWidth="1"/>
    <col min="11" max="11" width="13.85546875" bestFit="1" customWidth="1"/>
    <col min="12" max="14" width="9.42578125" bestFit="1" customWidth="1"/>
  </cols>
  <sheetData>
    <row r="1" spans="1:21">
      <c r="A1" s="218" t="s">
        <v>351</v>
      </c>
      <c r="B1" s="218"/>
      <c r="C1" s="218"/>
      <c r="D1" s="218"/>
      <c r="E1" s="218"/>
      <c r="F1" s="218"/>
      <c r="G1" s="218"/>
      <c r="H1" s="218"/>
      <c r="I1" s="218"/>
      <c r="J1" s="218"/>
      <c r="L1" s="71" t="s">
        <v>352</v>
      </c>
    </row>
    <row r="3" spans="1:21">
      <c r="A3" s="1"/>
      <c r="B3" s="1" t="s">
        <v>353</v>
      </c>
      <c r="C3" s="1" t="s">
        <v>354</v>
      </c>
      <c r="L3" s="71" t="s">
        <v>355</v>
      </c>
      <c r="T3" t="s">
        <v>421</v>
      </c>
    </row>
    <row r="4" spans="1:21">
      <c r="A4" s="1">
        <v>1</v>
      </c>
      <c r="B4" s="174">
        <v>9</v>
      </c>
      <c r="C4" s="174">
        <v>10.8</v>
      </c>
      <c r="U4">
        <v>9</v>
      </c>
    </row>
    <row r="5" spans="1:21">
      <c r="A5" s="1">
        <v>2</v>
      </c>
      <c r="B5" s="174">
        <v>94.4</v>
      </c>
      <c r="C5" s="174">
        <v>11.3</v>
      </c>
      <c r="L5" s="71" t="s">
        <v>356</v>
      </c>
      <c r="U5">
        <v>94.4</v>
      </c>
    </row>
    <row r="6" spans="1:21">
      <c r="A6" s="1">
        <v>3</v>
      </c>
      <c r="B6" s="174">
        <v>27.3</v>
      </c>
      <c r="C6" s="174">
        <v>11.2</v>
      </c>
      <c r="U6">
        <v>27.3</v>
      </c>
    </row>
    <row r="7" spans="1:21">
      <c r="A7" s="1">
        <v>4</v>
      </c>
      <c r="B7" s="174">
        <v>179.2</v>
      </c>
      <c r="C7" s="174">
        <v>11.1</v>
      </c>
      <c r="D7" s="160"/>
      <c r="L7" s="71" t="s">
        <v>357</v>
      </c>
      <c r="U7">
        <v>179.2</v>
      </c>
    </row>
    <row r="8" spans="1:21">
      <c r="A8" s="1">
        <v>5</v>
      </c>
      <c r="B8" s="174">
        <v>71.900000000000006</v>
      </c>
      <c r="C8" s="174">
        <v>11.1</v>
      </c>
      <c r="D8" s="160"/>
      <c r="U8">
        <v>71.900000000000006</v>
      </c>
    </row>
    <row r="9" spans="1:21">
      <c r="A9" s="1">
        <v>6</v>
      </c>
      <c r="B9" s="174">
        <v>97.9</v>
      </c>
      <c r="C9" s="174">
        <v>11.2</v>
      </c>
      <c r="D9" s="160"/>
      <c r="L9" s="71" t="s">
        <v>358</v>
      </c>
      <c r="U9">
        <v>97.9</v>
      </c>
    </row>
    <row r="10" spans="1:21">
      <c r="A10" s="1">
        <v>7</v>
      </c>
      <c r="B10" s="174">
        <v>93.5</v>
      </c>
      <c r="C10" s="174">
        <v>11</v>
      </c>
      <c r="D10" s="160"/>
      <c r="U10">
        <v>93.5</v>
      </c>
    </row>
    <row r="11" spans="1:21">
      <c r="A11" s="1">
        <v>8</v>
      </c>
      <c r="B11" s="174">
        <v>50</v>
      </c>
      <c r="C11" s="174">
        <v>10.7</v>
      </c>
      <c r="D11" s="160"/>
      <c r="L11" s="71" t="s">
        <v>359</v>
      </c>
      <c r="U11">
        <v>70</v>
      </c>
    </row>
    <row r="12" spans="1:21">
      <c r="A12" s="1">
        <v>9</v>
      </c>
      <c r="B12" s="174">
        <v>100</v>
      </c>
      <c r="C12" s="174">
        <v>11.3</v>
      </c>
      <c r="D12" s="160"/>
      <c r="U12">
        <v>160.69999999999999</v>
      </c>
    </row>
    <row r="13" spans="1:21">
      <c r="A13" s="1">
        <v>10</v>
      </c>
      <c r="B13" s="174">
        <v>96.5</v>
      </c>
      <c r="C13" s="174">
        <v>11</v>
      </c>
      <c r="D13" s="160"/>
      <c r="L13" s="71" t="s">
        <v>360</v>
      </c>
      <c r="U13">
        <v>96.5</v>
      </c>
    </row>
    <row r="14" spans="1:21">
      <c r="A14" s="1">
        <v>11</v>
      </c>
      <c r="B14" s="174">
        <v>83</v>
      </c>
      <c r="C14" s="174">
        <v>10.5</v>
      </c>
      <c r="D14" s="160"/>
      <c r="U14">
        <v>83</v>
      </c>
    </row>
    <row r="15" spans="1:21">
      <c r="A15" s="1">
        <v>12</v>
      </c>
      <c r="B15" s="174">
        <v>23.5</v>
      </c>
      <c r="C15" s="174">
        <v>10.3</v>
      </c>
      <c r="D15" s="160"/>
      <c r="L15" s="71" t="s">
        <v>361</v>
      </c>
      <c r="U15">
        <v>23.5</v>
      </c>
    </row>
    <row r="16" spans="1:21">
      <c r="A16" s="1">
        <v>13</v>
      </c>
      <c r="B16" s="174">
        <v>58.7</v>
      </c>
      <c r="C16" s="174">
        <v>10.7</v>
      </c>
      <c r="D16" s="160"/>
      <c r="U16">
        <v>58.7</v>
      </c>
    </row>
    <row r="17" spans="1:21">
      <c r="A17" s="1">
        <v>14</v>
      </c>
      <c r="B17" s="174">
        <v>93.8</v>
      </c>
      <c r="C17" s="174">
        <v>11</v>
      </c>
      <c r="D17" s="160"/>
      <c r="U17">
        <v>93.8</v>
      </c>
    </row>
    <row r="18" spans="1:21">
      <c r="A18" s="1">
        <v>15</v>
      </c>
      <c r="B18" s="174">
        <v>34.4</v>
      </c>
      <c r="C18" s="174">
        <v>10.8</v>
      </c>
      <c r="D18" s="160"/>
      <c r="U18">
        <v>34.4</v>
      </c>
    </row>
    <row r="19" spans="1:21">
      <c r="A19" s="1">
        <v>16</v>
      </c>
      <c r="B19" s="86"/>
      <c r="C19" s="161"/>
      <c r="D19" s="160"/>
      <c r="T19" t="s">
        <v>422</v>
      </c>
    </row>
    <row r="20" spans="1:21">
      <c r="A20" s="1">
        <v>17</v>
      </c>
      <c r="B20" s="86"/>
      <c r="C20" s="161"/>
      <c r="U20">
        <v>10.8</v>
      </c>
    </row>
    <row r="21" spans="1:21">
      <c r="A21" s="1">
        <v>18</v>
      </c>
      <c r="B21" s="86"/>
      <c r="C21" s="86"/>
      <c r="U21">
        <v>11.3</v>
      </c>
    </row>
    <row r="22" spans="1:21">
      <c r="A22" s="1">
        <v>19</v>
      </c>
      <c r="B22" s="86"/>
      <c r="C22" s="86"/>
      <c r="U22">
        <v>11.2</v>
      </c>
    </row>
    <row r="23" spans="1:21">
      <c r="A23" s="1">
        <v>20</v>
      </c>
      <c r="B23" s="86"/>
      <c r="C23" s="86"/>
      <c r="U23">
        <v>11.1</v>
      </c>
    </row>
    <row r="24" spans="1:21">
      <c r="A24" s="1">
        <v>21</v>
      </c>
      <c r="B24" s="86"/>
      <c r="C24" s="86"/>
      <c r="U24">
        <v>11.1</v>
      </c>
    </row>
    <row r="25" spans="1:21">
      <c r="A25" s="1">
        <v>22</v>
      </c>
      <c r="B25" s="86"/>
      <c r="C25" s="86"/>
      <c r="U25">
        <v>11.2</v>
      </c>
    </row>
    <row r="26" spans="1:21">
      <c r="A26" s="1">
        <v>23</v>
      </c>
      <c r="B26" s="86"/>
      <c r="C26" s="86"/>
      <c r="U26">
        <v>11</v>
      </c>
    </row>
    <row r="27" spans="1:21">
      <c r="A27" s="1">
        <v>24</v>
      </c>
      <c r="B27" s="86"/>
      <c r="C27" s="86"/>
      <c r="U27">
        <v>10.7</v>
      </c>
    </row>
    <row r="28" spans="1:21">
      <c r="A28" s="1">
        <v>25</v>
      </c>
      <c r="B28" s="86"/>
      <c r="C28" s="86"/>
      <c r="U28">
        <v>11.3</v>
      </c>
    </row>
    <row r="29" spans="1:21">
      <c r="A29" s="1" t="s">
        <v>362</v>
      </c>
      <c r="B29" s="15">
        <f>AVERAGE(B4:B28)</f>
        <v>74.206666666666678</v>
      </c>
      <c r="C29" s="15">
        <f>AVERAGE(C4:C28)</f>
        <v>10.933333333333334</v>
      </c>
      <c r="U29">
        <v>10.6</v>
      </c>
    </row>
    <row r="30" spans="1:21">
      <c r="A30" s="1" t="s">
        <v>3</v>
      </c>
      <c r="B30" s="15">
        <f>COUNT(B4:B28)</f>
        <v>15</v>
      </c>
      <c r="C30" s="15">
        <f>COUNT(C4:C28)</f>
        <v>15</v>
      </c>
      <c r="F30" t="s">
        <v>424</v>
      </c>
      <c r="U30">
        <v>10.5</v>
      </c>
    </row>
    <row r="31" spans="1:21">
      <c r="U31">
        <v>10.3</v>
      </c>
    </row>
    <row r="32" spans="1:21">
      <c r="A32" s="139" t="s">
        <v>363</v>
      </c>
      <c r="F32" s="219" t="s">
        <v>364</v>
      </c>
      <c r="G32" s="219"/>
      <c r="U32">
        <v>10.7</v>
      </c>
    </row>
    <row r="33" spans="1:21">
      <c r="A33" s="1" t="s">
        <v>365</v>
      </c>
      <c r="B33" s="15">
        <f>CORREL(B4:B28,C4:C28)</f>
        <v>0.47501775849278033</v>
      </c>
      <c r="F33" t="s">
        <v>366</v>
      </c>
      <c r="U33">
        <v>11</v>
      </c>
    </row>
    <row r="34" spans="1:21" ht="15.75" thickBot="1">
      <c r="A34" s="162" t="s">
        <v>367</v>
      </c>
      <c r="B34" s="15">
        <f>B33^2</f>
        <v>0.22564187088350537</v>
      </c>
      <c r="U34">
        <v>10.8</v>
      </c>
    </row>
    <row r="35" spans="1:21">
      <c r="A35" s="163"/>
      <c r="F35" s="9" t="s">
        <v>368</v>
      </c>
      <c r="G35" s="9"/>
    </row>
    <row r="36" spans="1:21">
      <c r="A36" s="163"/>
      <c r="F36" s="10" t="s">
        <v>369</v>
      </c>
      <c r="G36" s="10">
        <v>0.75901410936008384</v>
      </c>
    </row>
    <row r="37" spans="1:21">
      <c r="A37" s="164" t="s">
        <v>423</v>
      </c>
      <c r="F37" s="10" t="s">
        <v>370</v>
      </c>
      <c r="G37" s="10">
        <v>0.57610241820768138</v>
      </c>
    </row>
    <row r="38" spans="1:21">
      <c r="A38" s="165" t="s">
        <v>371</v>
      </c>
      <c r="B38" s="166">
        <v>0.05</v>
      </c>
      <c r="F38" s="10" t="s">
        <v>372</v>
      </c>
      <c r="G38" s="10">
        <v>0.52311522048364156</v>
      </c>
    </row>
    <row r="39" spans="1:21">
      <c r="A39" s="1" t="s">
        <v>373</v>
      </c>
      <c r="B39" s="15">
        <f>(B33*SQRT(B30-2)/SQRT(1-B34))</f>
        <v>1.946303623551688</v>
      </c>
      <c r="F39" s="10" t="s">
        <v>53</v>
      </c>
      <c r="G39" s="10">
        <v>9.9008239954800565</v>
      </c>
    </row>
    <row r="40" spans="1:21" ht="15.75" thickBot="1">
      <c r="A40" s="165" t="s">
        <v>374</v>
      </c>
      <c r="B40" s="15">
        <f>TINV(B38,B30-2)</f>
        <v>2.1603686522485352</v>
      </c>
      <c r="F40" s="12" t="s">
        <v>275</v>
      </c>
      <c r="G40" s="12">
        <v>10</v>
      </c>
    </row>
    <row r="41" spans="1:21">
      <c r="A41" s="165" t="s">
        <v>375</v>
      </c>
      <c r="B41" s="15">
        <f>B40/SQRT(B40^2+B30-2)</f>
        <v>0.51397748351829964</v>
      </c>
    </row>
    <row r="42" spans="1:21" ht="15.75" thickBot="1">
      <c r="A42" s="165" t="s">
        <v>376</v>
      </c>
      <c r="B42" s="172">
        <f>TDIST(B39,B30-2,2)</f>
        <v>7.355858220073544E-2</v>
      </c>
      <c r="F42" t="s">
        <v>377</v>
      </c>
    </row>
    <row r="43" spans="1:21">
      <c r="B43" s="167"/>
      <c r="F43" s="141"/>
      <c r="G43" s="141" t="s">
        <v>247</v>
      </c>
      <c r="H43" s="141" t="s">
        <v>378</v>
      </c>
      <c r="I43" s="141" t="s">
        <v>379</v>
      </c>
      <c r="J43" s="141" t="s">
        <v>207</v>
      </c>
      <c r="K43" s="141" t="s">
        <v>380</v>
      </c>
    </row>
    <row r="44" spans="1:21">
      <c r="A44" s="139" t="s">
        <v>381</v>
      </c>
      <c r="F44" s="10" t="s">
        <v>382</v>
      </c>
      <c r="G44" s="10">
        <v>1</v>
      </c>
      <c r="H44" s="10">
        <v>1065.7894736842106</v>
      </c>
      <c r="I44" s="10">
        <v>1065.7894736842106</v>
      </c>
      <c r="J44" s="10">
        <v>10.872483221476513</v>
      </c>
      <c r="K44" s="175">
        <v>1.0901929661848844E-2</v>
      </c>
    </row>
    <row r="45" spans="1:21">
      <c r="A45" s="1" t="s">
        <v>383</v>
      </c>
      <c r="B45" s="1"/>
      <c r="F45" s="10" t="s">
        <v>384</v>
      </c>
      <c r="G45" s="10">
        <v>8</v>
      </c>
      <c r="H45" s="10">
        <v>784.21052631578937</v>
      </c>
      <c r="I45" s="10">
        <v>98.026315789473671</v>
      </c>
      <c r="J45" s="10"/>
      <c r="K45" s="10"/>
    </row>
    <row r="46" spans="1:21" ht="15.75" thickBot="1">
      <c r="A46" s="1" t="s">
        <v>385</v>
      </c>
      <c r="B46" s="173">
        <f>ROUND(SLOPE(C4:C28,B4:B28),4)</f>
        <v>3.3E-3</v>
      </c>
      <c r="F46" s="12" t="s">
        <v>11</v>
      </c>
      <c r="G46" s="12">
        <v>9</v>
      </c>
      <c r="H46" s="12">
        <v>1850</v>
      </c>
      <c r="I46" s="12"/>
      <c r="J46" s="12"/>
      <c r="K46" s="12"/>
    </row>
    <row r="47" spans="1:21" ht="15.75" thickBot="1">
      <c r="A47" s="1" t="s">
        <v>386</v>
      </c>
      <c r="B47" s="173">
        <f>ROUND(INTERCEPT(C4:C28,B4:B28),4)</f>
        <v>10.6898</v>
      </c>
    </row>
    <row r="48" spans="1:21">
      <c r="A48" s="66"/>
      <c r="F48" s="141"/>
      <c r="G48" s="141" t="s">
        <v>387</v>
      </c>
      <c r="H48" s="141" t="s">
        <v>53</v>
      </c>
      <c r="I48" s="141" t="s">
        <v>331</v>
      </c>
      <c r="J48" s="141" t="s">
        <v>388</v>
      </c>
      <c r="K48" s="141" t="s">
        <v>389</v>
      </c>
      <c r="L48" s="141" t="s">
        <v>390</v>
      </c>
      <c r="M48" s="141" t="s">
        <v>402</v>
      </c>
      <c r="N48" s="141" t="s">
        <v>403</v>
      </c>
    </row>
    <row r="49" spans="1:14">
      <c r="A49" s="164" t="s">
        <v>397</v>
      </c>
      <c r="F49" s="10" t="s">
        <v>391</v>
      </c>
      <c r="G49" s="175">
        <v>18.947368421052634</v>
      </c>
      <c r="H49" s="10">
        <v>8.498818558923757</v>
      </c>
      <c r="I49" s="10">
        <v>2.2294120400014781</v>
      </c>
      <c r="J49" s="175">
        <v>5.6348646557581976E-2</v>
      </c>
      <c r="K49" s="10">
        <v>-0.65094230398479724</v>
      </c>
      <c r="L49" s="10">
        <v>38.545679146090066</v>
      </c>
      <c r="M49" s="10">
        <v>-0.65094230398479724</v>
      </c>
      <c r="N49" s="10">
        <v>38.545679146090066</v>
      </c>
    </row>
    <row r="50" spans="1:14" ht="15.75" thickBot="1">
      <c r="A50" s="1" t="s">
        <v>142</v>
      </c>
      <c r="B50" s="220" t="str">
        <f>"Y="&amp;B47&amp;"+"&amp;B46&amp;"X"</f>
        <v>Y=10.6898+0.0033X</v>
      </c>
      <c r="C50" s="221"/>
      <c r="D50" s="222"/>
      <c r="F50" s="12" t="s">
        <v>392</v>
      </c>
      <c r="G50" s="176">
        <v>1.1842105263157894</v>
      </c>
      <c r="H50" s="12">
        <v>0.35914063326200468</v>
      </c>
      <c r="I50" s="12">
        <v>3.2973448745129033</v>
      </c>
      <c r="J50" s="176">
        <v>1.0901929661848844E-2</v>
      </c>
      <c r="K50" s="12">
        <v>0.35603074157794418</v>
      </c>
      <c r="L50" s="12">
        <v>2.0123903110536348</v>
      </c>
      <c r="M50" s="12">
        <v>0.35603074157794418</v>
      </c>
      <c r="N50" s="12">
        <v>2.0123903110536348</v>
      </c>
    </row>
    <row r="52" spans="1:14">
      <c r="A52" s="139" t="s">
        <v>393</v>
      </c>
    </row>
    <row r="53" spans="1:14">
      <c r="A53" s="1" t="s">
        <v>394</v>
      </c>
      <c r="B53" s="86">
        <v>25</v>
      </c>
    </row>
    <row r="54" spans="1:14">
      <c r="A54" s="1" t="s">
        <v>395</v>
      </c>
      <c r="B54" s="15">
        <f>B47+B53*B46</f>
        <v>10.7723</v>
      </c>
    </row>
    <row r="55" spans="1:14">
      <c r="A55" s="168" t="s">
        <v>396</v>
      </c>
      <c r="B55" s="15">
        <f>B39*STEYX(C4:C28,B4:B28)*(SQRT(1+(1/B30)+((B53-B29)^2)/DEVSQ(B4:B28)))</f>
        <v>0.56400379438948312</v>
      </c>
    </row>
  </sheetData>
  <mergeCells count="3">
    <mergeCell ref="A1:J1"/>
    <mergeCell ref="F32:G32"/>
    <mergeCell ref="B50:D5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21"/>
  <sheetViews>
    <sheetView workbookViewId="0"/>
  </sheetViews>
  <sheetFormatPr defaultRowHeight="15"/>
  <cols>
    <col min="6" max="6" width="18" bestFit="1" customWidth="1"/>
    <col min="7" max="7" width="12.7109375" bestFit="1" customWidth="1"/>
    <col min="8" max="8" width="13.7109375" bestFit="1" customWidth="1"/>
    <col min="9" max="9" width="12.7109375" bestFit="1" customWidth="1"/>
    <col min="10" max="10" width="12" bestFit="1" customWidth="1"/>
    <col min="11" max="11" width="13.5703125" bestFit="1" customWidth="1"/>
    <col min="12" max="14" width="12.7109375" bestFit="1" customWidth="1"/>
  </cols>
  <sheetData>
    <row r="1" spans="1:14">
      <c r="A1" s="170" t="s">
        <v>398</v>
      </c>
      <c r="B1" s="170" t="s">
        <v>399</v>
      </c>
      <c r="C1" s="170" t="s">
        <v>400</v>
      </c>
      <c r="D1" s="170" t="s">
        <v>401</v>
      </c>
      <c r="F1" t="s">
        <v>366</v>
      </c>
    </row>
    <row r="2" spans="1:14" ht="15.75" thickBot="1">
      <c r="A2">
        <v>250</v>
      </c>
      <c r="B2">
        <v>35</v>
      </c>
      <c r="C2">
        <v>3</v>
      </c>
      <c r="D2">
        <v>6</v>
      </c>
    </row>
    <row r="3" spans="1:14">
      <c r="A3">
        <v>360</v>
      </c>
      <c r="B3">
        <v>29</v>
      </c>
      <c r="C3">
        <v>4</v>
      </c>
      <c r="D3">
        <v>10</v>
      </c>
      <c r="F3" s="9" t="s">
        <v>368</v>
      </c>
      <c r="G3" s="9"/>
    </row>
    <row r="4" spans="1:14">
      <c r="A4">
        <v>165</v>
      </c>
      <c r="B4">
        <v>36</v>
      </c>
      <c r="C4">
        <v>7</v>
      </c>
      <c r="D4">
        <v>3</v>
      </c>
      <c r="F4" s="10" t="s">
        <v>369</v>
      </c>
      <c r="G4" s="10">
        <v>0.89675529911288243</v>
      </c>
    </row>
    <row r="5" spans="1:14">
      <c r="A5">
        <v>43</v>
      </c>
      <c r="B5">
        <v>60</v>
      </c>
      <c r="C5">
        <v>6</v>
      </c>
      <c r="D5">
        <v>9</v>
      </c>
      <c r="F5" s="10" t="s">
        <v>370</v>
      </c>
      <c r="G5" s="10">
        <v>0.80417006648703515</v>
      </c>
    </row>
    <row r="6" spans="1:14">
      <c r="A6">
        <v>92</v>
      </c>
      <c r="B6">
        <v>65</v>
      </c>
      <c r="C6">
        <v>5</v>
      </c>
      <c r="D6">
        <v>6</v>
      </c>
      <c r="F6" s="10" t="s">
        <v>372</v>
      </c>
      <c r="G6" s="10">
        <v>0.76745195395335419</v>
      </c>
    </row>
    <row r="7" spans="1:14">
      <c r="A7">
        <v>200</v>
      </c>
      <c r="B7">
        <v>30</v>
      </c>
      <c r="C7">
        <v>5</v>
      </c>
      <c r="D7">
        <v>5</v>
      </c>
      <c r="F7" s="10" t="s">
        <v>53</v>
      </c>
      <c r="G7" s="10">
        <v>51.048553582816538</v>
      </c>
    </row>
    <row r="8" spans="1:14" ht="15.75" thickBot="1">
      <c r="A8">
        <v>355</v>
      </c>
      <c r="B8">
        <v>10</v>
      </c>
      <c r="C8">
        <v>6</v>
      </c>
      <c r="D8">
        <v>7</v>
      </c>
      <c r="F8" s="12" t="s">
        <v>275</v>
      </c>
      <c r="G8" s="12">
        <v>20</v>
      </c>
    </row>
    <row r="9" spans="1:14">
      <c r="A9">
        <v>290</v>
      </c>
      <c r="B9">
        <v>7</v>
      </c>
      <c r="C9">
        <v>10</v>
      </c>
      <c r="D9">
        <v>10</v>
      </c>
    </row>
    <row r="10" spans="1:14" ht="15.75" thickBot="1">
      <c r="A10">
        <v>230</v>
      </c>
      <c r="B10">
        <v>21</v>
      </c>
      <c r="C10">
        <v>9</v>
      </c>
      <c r="D10">
        <v>11</v>
      </c>
      <c r="F10" t="s">
        <v>377</v>
      </c>
    </row>
    <row r="11" spans="1:14">
      <c r="A11">
        <v>120</v>
      </c>
      <c r="B11">
        <v>55</v>
      </c>
      <c r="C11">
        <v>2</v>
      </c>
      <c r="D11">
        <v>5</v>
      </c>
      <c r="F11" s="141"/>
      <c r="G11" s="141" t="s">
        <v>247</v>
      </c>
      <c r="H11" s="141" t="s">
        <v>378</v>
      </c>
      <c r="I11" s="141" t="s">
        <v>379</v>
      </c>
      <c r="J11" s="141" t="s">
        <v>207</v>
      </c>
      <c r="K11" s="141" t="s">
        <v>380</v>
      </c>
    </row>
    <row r="12" spans="1:14">
      <c r="A12">
        <v>73</v>
      </c>
      <c r="B12">
        <v>54</v>
      </c>
      <c r="C12">
        <v>12</v>
      </c>
      <c r="D12">
        <v>4</v>
      </c>
      <c r="F12" s="10" t="s">
        <v>382</v>
      </c>
      <c r="G12" s="10">
        <v>3</v>
      </c>
      <c r="H12" s="10">
        <v>171220.47283363694</v>
      </c>
      <c r="I12" s="10">
        <v>57073.490944545651</v>
      </c>
      <c r="J12" s="10">
        <v>21.901182032420191</v>
      </c>
      <c r="K12" s="175">
        <v>6.5617824780148245E-6</v>
      </c>
    </row>
    <row r="13" spans="1:14">
      <c r="A13">
        <v>205</v>
      </c>
      <c r="B13">
        <v>48</v>
      </c>
      <c r="C13">
        <v>5</v>
      </c>
      <c r="D13">
        <v>1</v>
      </c>
      <c r="F13" s="10" t="s">
        <v>384</v>
      </c>
      <c r="G13" s="10">
        <v>16</v>
      </c>
      <c r="H13" s="10">
        <v>41695.277166363056</v>
      </c>
      <c r="I13" s="10">
        <v>2605.954822897691</v>
      </c>
      <c r="J13" s="10"/>
      <c r="K13" s="10"/>
    </row>
    <row r="14" spans="1:14" ht="15.75" thickBot="1">
      <c r="A14">
        <v>400</v>
      </c>
      <c r="B14">
        <v>20</v>
      </c>
      <c r="C14">
        <v>5</v>
      </c>
      <c r="D14">
        <v>15</v>
      </c>
      <c r="F14" s="12" t="s">
        <v>11</v>
      </c>
      <c r="G14" s="12">
        <v>19</v>
      </c>
      <c r="H14" s="12">
        <v>212915.75</v>
      </c>
      <c r="I14" s="12"/>
      <c r="J14" s="12"/>
      <c r="K14" s="12"/>
    </row>
    <row r="15" spans="1:14" ht="15.75" thickBot="1">
      <c r="A15">
        <v>320</v>
      </c>
      <c r="B15">
        <v>39</v>
      </c>
      <c r="C15">
        <v>4</v>
      </c>
      <c r="D15">
        <v>7</v>
      </c>
    </row>
    <row r="16" spans="1:14">
      <c r="A16">
        <v>72</v>
      </c>
      <c r="B16">
        <v>60</v>
      </c>
      <c r="C16">
        <v>8</v>
      </c>
      <c r="D16">
        <v>6</v>
      </c>
      <c r="F16" s="141"/>
      <c r="G16" s="141" t="s">
        <v>387</v>
      </c>
      <c r="H16" s="141" t="s">
        <v>53</v>
      </c>
      <c r="I16" s="141" t="s">
        <v>331</v>
      </c>
      <c r="J16" s="141" t="s">
        <v>388</v>
      </c>
      <c r="K16" s="141" t="s">
        <v>389</v>
      </c>
      <c r="L16" s="141" t="s">
        <v>390</v>
      </c>
      <c r="M16" s="141" t="s">
        <v>402</v>
      </c>
      <c r="N16" s="141" t="s">
        <v>403</v>
      </c>
    </row>
    <row r="17" spans="1:14">
      <c r="A17">
        <v>272</v>
      </c>
      <c r="B17">
        <v>20</v>
      </c>
      <c r="C17">
        <v>5</v>
      </c>
      <c r="D17">
        <v>8</v>
      </c>
      <c r="F17" s="10" t="s">
        <v>391</v>
      </c>
      <c r="G17" s="175">
        <v>427.19380331964618</v>
      </c>
      <c r="H17" s="10">
        <v>59.601429312236476</v>
      </c>
      <c r="I17" s="10">
        <v>7.1675093743421536</v>
      </c>
      <c r="J17" s="175">
        <v>2.2376417347287968E-6</v>
      </c>
      <c r="K17" s="10">
        <v>300.84441831739224</v>
      </c>
      <c r="L17" s="10">
        <v>553.54318832190017</v>
      </c>
      <c r="M17" s="10">
        <v>300.84441831739224</v>
      </c>
      <c r="N17" s="10">
        <v>553.54318832190017</v>
      </c>
    </row>
    <row r="18" spans="1:14">
      <c r="A18">
        <v>94</v>
      </c>
      <c r="B18">
        <v>58</v>
      </c>
      <c r="C18">
        <v>7</v>
      </c>
      <c r="D18">
        <v>3</v>
      </c>
      <c r="F18" s="10" t="s">
        <v>399</v>
      </c>
      <c r="G18" s="175">
        <v>-4.5826626257634553</v>
      </c>
      <c r="H18" s="10">
        <v>0.77231935343106062</v>
      </c>
      <c r="I18" s="10">
        <v>-5.9336369150983819</v>
      </c>
      <c r="J18" s="175">
        <v>2.1003501920410394E-5</v>
      </c>
      <c r="K18" s="10">
        <v>-6.2199065049353068</v>
      </c>
      <c r="L18" s="10">
        <v>-2.9454187465916042</v>
      </c>
      <c r="M18" s="10">
        <v>-6.2199065049353068</v>
      </c>
      <c r="N18" s="10">
        <v>-2.9454187465916042</v>
      </c>
    </row>
    <row r="19" spans="1:14">
      <c r="A19">
        <v>190</v>
      </c>
      <c r="B19">
        <v>40</v>
      </c>
      <c r="C19">
        <v>8</v>
      </c>
      <c r="D19">
        <v>11</v>
      </c>
      <c r="F19" s="10" t="s">
        <v>400</v>
      </c>
      <c r="G19" s="175">
        <v>-14.830862687430841</v>
      </c>
      <c r="H19" s="10">
        <v>4.754412280527589</v>
      </c>
      <c r="I19" s="10">
        <v>-3.1193892772347218</v>
      </c>
      <c r="J19" s="175">
        <v>6.6059631474771835E-3</v>
      </c>
      <c r="K19" s="10">
        <v>-24.909766408763147</v>
      </c>
      <c r="L19" s="10">
        <v>-4.7519589660985346</v>
      </c>
      <c r="M19" s="10">
        <v>-24.909766408763147</v>
      </c>
      <c r="N19" s="10">
        <v>-4.7519589660985346</v>
      </c>
    </row>
    <row r="20" spans="1:14" ht="15.75" thickBot="1">
      <c r="A20">
        <v>235</v>
      </c>
      <c r="B20">
        <v>27</v>
      </c>
      <c r="C20">
        <v>9</v>
      </c>
      <c r="D20">
        <v>8</v>
      </c>
      <c r="F20" s="12" t="s">
        <v>401</v>
      </c>
      <c r="G20" s="176">
        <v>6.1010320605628889</v>
      </c>
      <c r="H20" s="12">
        <v>4.0121201661204164</v>
      </c>
      <c r="I20" s="12">
        <v>1.5206503813325161</v>
      </c>
      <c r="J20" s="176">
        <v>0.14786248406436886</v>
      </c>
      <c r="K20" s="12">
        <v>-2.4042826843031464</v>
      </c>
      <c r="L20" s="12">
        <v>14.606346805428924</v>
      </c>
      <c r="M20" s="12">
        <v>-2.4042826843031464</v>
      </c>
      <c r="N20" s="12">
        <v>14.606346805428924</v>
      </c>
    </row>
    <row r="21" spans="1:14">
      <c r="A21">
        <v>139</v>
      </c>
      <c r="B21">
        <v>30</v>
      </c>
      <c r="C21">
        <v>7</v>
      </c>
      <c r="D21">
        <v>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81"/>
  <sheetViews>
    <sheetView workbookViewId="0"/>
  </sheetViews>
  <sheetFormatPr defaultRowHeight="15"/>
  <cols>
    <col min="1" max="1" width="21.42578125" customWidth="1"/>
    <col min="2" max="2" width="11.28515625" customWidth="1"/>
  </cols>
  <sheetData>
    <row r="1" spans="1:3">
      <c r="A1" t="s">
        <v>404</v>
      </c>
      <c r="C1" t="s">
        <v>405</v>
      </c>
    </row>
    <row r="2" spans="1:3">
      <c r="C2" t="s">
        <v>406</v>
      </c>
    </row>
    <row r="3" spans="1:3">
      <c r="A3" s="139" t="s">
        <v>407</v>
      </c>
      <c r="B3" s="169">
        <f ca="1">RAND()</f>
        <v>0.92514702640780389</v>
      </c>
      <c r="C3">
        <v>1</v>
      </c>
    </row>
    <row r="4" spans="1:3">
      <c r="B4" s="169">
        <f t="shared" ref="B4:B12" ca="1" si="0">RAND()</f>
        <v>0.34293632778302996</v>
      </c>
      <c r="C4">
        <v>2</v>
      </c>
    </row>
    <row r="5" spans="1:3">
      <c r="B5" s="169">
        <f t="shared" ca="1" si="0"/>
        <v>0.23866227834217035</v>
      </c>
      <c r="C5">
        <v>3</v>
      </c>
    </row>
    <row r="6" spans="1:3">
      <c r="B6" s="169">
        <f t="shared" ca="1" si="0"/>
        <v>0.73129247621479765</v>
      </c>
      <c r="C6">
        <v>4</v>
      </c>
    </row>
    <row r="7" spans="1:3">
      <c r="B7" s="169">
        <f t="shared" ca="1" si="0"/>
        <v>0.13419247646533261</v>
      </c>
      <c r="C7">
        <v>5</v>
      </c>
    </row>
    <row r="8" spans="1:3">
      <c r="B8" s="169">
        <f t="shared" ca="1" si="0"/>
        <v>0.37995769959940717</v>
      </c>
      <c r="C8">
        <v>6</v>
      </c>
    </row>
    <row r="9" spans="1:3">
      <c r="B9" s="169">
        <f t="shared" ca="1" si="0"/>
        <v>0.87644821946129836</v>
      </c>
      <c r="C9">
        <v>7</v>
      </c>
    </row>
    <row r="10" spans="1:3">
      <c r="B10" s="169">
        <f t="shared" ca="1" si="0"/>
        <v>0.2528054663248005</v>
      </c>
      <c r="C10">
        <v>8</v>
      </c>
    </row>
    <row r="11" spans="1:3">
      <c r="B11" s="169">
        <f t="shared" ca="1" si="0"/>
        <v>0.7898371530546886</v>
      </c>
      <c r="C11">
        <v>9</v>
      </c>
    </row>
    <row r="12" spans="1:3">
      <c r="B12" s="169">
        <f t="shared" ca="1" si="0"/>
        <v>0.87395585456133884</v>
      </c>
      <c r="C12">
        <v>10</v>
      </c>
    </row>
    <row r="17" spans="1:3">
      <c r="A17" t="s">
        <v>408</v>
      </c>
    </row>
    <row r="18" spans="1:3">
      <c r="A18" s="159" t="s">
        <v>409</v>
      </c>
      <c r="B18">
        <v>50</v>
      </c>
    </row>
    <row r="20" spans="1:3">
      <c r="A20" s="139" t="s">
        <v>410</v>
      </c>
      <c r="B20">
        <f ca="1">RAND()*$B$18</f>
        <v>45.130045199396648</v>
      </c>
      <c r="C20">
        <v>1</v>
      </c>
    </row>
    <row r="21" spans="1:3">
      <c r="B21">
        <f t="shared" ref="B21:B29" ca="1" si="1">RAND()*$B$18</f>
        <v>46.551853827535354</v>
      </c>
      <c r="C21">
        <v>2</v>
      </c>
    </row>
    <row r="22" spans="1:3">
      <c r="B22">
        <f t="shared" ca="1" si="1"/>
        <v>35.481659358436509</v>
      </c>
      <c r="C22">
        <v>3</v>
      </c>
    </row>
    <row r="23" spans="1:3">
      <c r="B23">
        <f t="shared" ca="1" si="1"/>
        <v>28.175761065034123</v>
      </c>
      <c r="C23">
        <v>4</v>
      </c>
    </row>
    <row r="24" spans="1:3">
      <c r="B24">
        <f t="shared" ca="1" si="1"/>
        <v>35.628146408979802</v>
      </c>
      <c r="C24">
        <v>5</v>
      </c>
    </row>
    <row r="25" spans="1:3">
      <c r="B25">
        <f t="shared" ca="1" si="1"/>
        <v>2.0400540850254334</v>
      </c>
      <c r="C25">
        <v>6</v>
      </c>
    </row>
    <row r="26" spans="1:3">
      <c r="B26">
        <f t="shared" ca="1" si="1"/>
        <v>15.851010596546434</v>
      </c>
      <c r="C26">
        <v>7</v>
      </c>
    </row>
    <row r="27" spans="1:3">
      <c r="B27">
        <f t="shared" ca="1" si="1"/>
        <v>14.288629002256936</v>
      </c>
      <c r="C27">
        <v>8</v>
      </c>
    </row>
    <row r="28" spans="1:3">
      <c r="B28">
        <f t="shared" ca="1" si="1"/>
        <v>41.483403657906237</v>
      </c>
      <c r="C28">
        <v>9</v>
      </c>
    </row>
    <row r="29" spans="1:3" ht="14.25" customHeight="1">
      <c r="B29">
        <f t="shared" ca="1" si="1"/>
        <v>2.6100363140698857</v>
      </c>
      <c r="C29">
        <v>10</v>
      </c>
    </row>
    <row r="32" spans="1:3">
      <c r="A32" t="s">
        <v>411</v>
      </c>
    </row>
    <row r="33" spans="1:3">
      <c r="A33" s="159" t="s">
        <v>394</v>
      </c>
      <c r="B33">
        <v>20</v>
      </c>
    </row>
    <row r="34" spans="1:3">
      <c r="A34" s="159" t="s">
        <v>412</v>
      </c>
      <c r="B34">
        <v>50</v>
      </c>
    </row>
    <row r="36" spans="1:3">
      <c r="A36" s="139" t="s">
        <v>413</v>
      </c>
      <c r="B36">
        <f ca="1">RAND()*($B$34-$B$33)+$B$33</f>
        <v>33.85538877918296</v>
      </c>
      <c r="C36">
        <v>1</v>
      </c>
    </row>
    <row r="37" spans="1:3">
      <c r="B37">
        <f t="shared" ref="B37:B45" ca="1" si="2">RAND()*($B$34-$B$33)+$B$33</f>
        <v>41.862896354476966</v>
      </c>
      <c r="C37">
        <v>2</v>
      </c>
    </row>
    <row r="38" spans="1:3">
      <c r="B38">
        <f t="shared" ca="1" si="2"/>
        <v>45.60268628643108</v>
      </c>
      <c r="C38">
        <v>3</v>
      </c>
    </row>
    <row r="39" spans="1:3">
      <c r="B39">
        <f t="shared" ca="1" si="2"/>
        <v>44.202799713168794</v>
      </c>
      <c r="C39">
        <v>4</v>
      </c>
    </row>
    <row r="40" spans="1:3">
      <c r="B40">
        <f t="shared" ca="1" si="2"/>
        <v>22.03968066060995</v>
      </c>
      <c r="C40">
        <v>5</v>
      </c>
    </row>
    <row r="41" spans="1:3">
      <c r="B41">
        <f t="shared" ca="1" si="2"/>
        <v>40.358116757357635</v>
      </c>
      <c r="C41">
        <v>6</v>
      </c>
    </row>
    <row r="42" spans="1:3">
      <c r="B42">
        <f t="shared" ca="1" si="2"/>
        <v>25.376119078270897</v>
      </c>
      <c r="C42">
        <v>7</v>
      </c>
    </row>
    <row r="43" spans="1:3">
      <c r="B43">
        <f t="shared" ca="1" si="2"/>
        <v>31.582867830323671</v>
      </c>
      <c r="C43">
        <v>8</v>
      </c>
    </row>
    <row r="44" spans="1:3">
      <c r="B44">
        <f t="shared" ca="1" si="2"/>
        <v>39.000106253185116</v>
      </c>
      <c r="C44">
        <v>9</v>
      </c>
    </row>
    <row r="45" spans="1:3">
      <c r="B45">
        <f t="shared" ca="1" si="2"/>
        <v>22.455436937027535</v>
      </c>
      <c r="C45">
        <v>10</v>
      </c>
    </row>
    <row r="47" spans="1:3">
      <c r="A47" t="s">
        <v>414</v>
      </c>
    </row>
    <row r="48" spans="1:3">
      <c r="A48" t="s">
        <v>415</v>
      </c>
    </row>
    <row r="50" spans="1:3">
      <c r="A50" s="71" t="s">
        <v>416</v>
      </c>
    </row>
    <row r="51" spans="1:3">
      <c r="A51" t="s">
        <v>417</v>
      </c>
    </row>
    <row r="52" spans="1:3">
      <c r="A52" s="159" t="s">
        <v>394</v>
      </c>
      <c r="B52">
        <v>1</v>
      </c>
    </row>
    <row r="53" spans="1:3">
      <c r="A53" s="159" t="s">
        <v>412</v>
      </c>
      <c r="B53">
        <v>6</v>
      </c>
    </row>
    <row r="55" spans="1:3">
      <c r="A55" s="139" t="s">
        <v>418</v>
      </c>
      <c r="B55">
        <f ca="1">INT(RAND()*($B$52-1-$B$53)+$B$53)+1</f>
        <v>5</v>
      </c>
      <c r="C55">
        <v>1</v>
      </c>
    </row>
    <row r="56" spans="1:3">
      <c r="B56">
        <f t="shared" ref="B56:B64" ca="1" si="3">INT(RAND()*($B$52-1-$B$53)+$B$53)+1</f>
        <v>1</v>
      </c>
      <c r="C56">
        <v>2</v>
      </c>
    </row>
    <row r="57" spans="1:3">
      <c r="B57">
        <f t="shared" ca="1" si="3"/>
        <v>2</v>
      </c>
      <c r="C57">
        <v>3</v>
      </c>
    </row>
    <row r="58" spans="1:3">
      <c r="B58">
        <f t="shared" ca="1" si="3"/>
        <v>4</v>
      </c>
      <c r="C58">
        <v>4</v>
      </c>
    </row>
    <row r="59" spans="1:3">
      <c r="B59">
        <f t="shared" ca="1" si="3"/>
        <v>4</v>
      </c>
      <c r="C59">
        <v>5</v>
      </c>
    </row>
    <row r="60" spans="1:3">
      <c r="B60">
        <f t="shared" ca="1" si="3"/>
        <v>1</v>
      </c>
      <c r="C60">
        <v>6</v>
      </c>
    </row>
    <row r="61" spans="1:3">
      <c r="B61">
        <f t="shared" ca="1" si="3"/>
        <v>4</v>
      </c>
      <c r="C61">
        <v>7</v>
      </c>
    </row>
    <row r="62" spans="1:3">
      <c r="B62">
        <f t="shared" ca="1" si="3"/>
        <v>6</v>
      </c>
      <c r="C62">
        <v>8</v>
      </c>
    </row>
    <row r="63" spans="1:3">
      <c r="B63">
        <f t="shared" ca="1" si="3"/>
        <v>5</v>
      </c>
      <c r="C63">
        <v>9</v>
      </c>
    </row>
    <row r="64" spans="1:3">
      <c r="B64">
        <f t="shared" ca="1" si="3"/>
        <v>5</v>
      </c>
      <c r="C64">
        <v>10</v>
      </c>
    </row>
    <row r="67" spans="1:3">
      <c r="A67" t="s">
        <v>419</v>
      </c>
    </row>
    <row r="68" spans="1:3">
      <c r="A68" s="139" t="s">
        <v>420</v>
      </c>
    </row>
    <row r="69" spans="1:3">
      <c r="A69" s="159" t="s">
        <v>394</v>
      </c>
      <c r="B69">
        <v>1</v>
      </c>
    </row>
    <row r="70" spans="1:3">
      <c r="A70" s="159" t="s">
        <v>412</v>
      </c>
      <c r="B70">
        <v>6</v>
      </c>
    </row>
    <row r="72" spans="1:3">
      <c r="A72" s="139"/>
      <c r="B72">
        <f t="shared" ref="B72:B81" ca="1" si="4">RANDBETWEEN($B$69,$B$70)</f>
        <v>4</v>
      </c>
      <c r="C72">
        <v>1</v>
      </c>
    </row>
    <row r="73" spans="1:3">
      <c r="B73">
        <f t="shared" ca="1" si="4"/>
        <v>5</v>
      </c>
      <c r="C73">
        <v>2</v>
      </c>
    </row>
    <row r="74" spans="1:3">
      <c r="B74">
        <f t="shared" ca="1" si="4"/>
        <v>2</v>
      </c>
      <c r="C74">
        <v>3</v>
      </c>
    </row>
    <row r="75" spans="1:3">
      <c r="B75">
        <f t="shared" ca="1" si="4"/>
        <v>1</v>
      </c>
      <c r="C75">
        <v>4</v>
      </c>
    </row>
    <row r="76" spans="1:3">
      <c r="B76">
        <f t="shared" ca="1" si="4"/>
        <v>5</v>
      </c>
      <c r="C76">
        <v>5</v>
      </c>
    </row>
    <row r="77" spans="1:3">
      <c r="B77">
        <f t="shared" ca="1" si="4"/>
        <v>3</v>
      </c>
      <c r="C77">
        <v>6</v>
      </c>
    </row>
    <row r="78" spans="1:3">
      <c r="B78">
        <f t="shared" ca="1" si="4"/>
        <v>3</v>
      </c>
      <c r="C78">
        <v>7</v>
      </c>
    </row>
    <row r="79" spans="1:3">
      <c r="B79">
        <f t="shared" ca="1" si="4"/>
        <v>1</v>
      </c>
      <c r="C79">
        <v>8</v>
      </c>
    </row>
    <row r="80" spans="1:3">
      <c r="B80">
        <f t="shared" ca="1" si="4"/>
        <v>2</v>
      </c>
      <c r="C80">
        <v>9</v>
      </c>
    </row>
    <row r="81" spans="2:3">
      <c r="B81">
        <f t="shared" ca="1" si="4"/>
        <v>6</v>
      </c>
      <c r="C8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M&amp;M Data</vt:lpstr>
      <vt:lpstr>M&amp;M Weights</vt:lpstr>
      <vt:lpstr>Green M&amp;Ms</vt:lpstr>
      <vt:lpstr>Descript. Stats.</vt:lpstr>
      <vt:lpstr>Weighted Stats</vt:lpstr>
      <vt:lpstr>Permutations and Combinations</vt:lpstr>
      <vt:lpstr>Binomial Distribution</vt:lpstr>
      <vt:lpstr>Normal Dist.</vt:lpstr>
      <vt:lpstr>t-Dist.</vt:lpstr>
      <vt:lpstr>Two-Sample</vt:lpstr>
      <vt:lpstr>Correlation &amp; Regression</vt:lpstr>
      <vt:lpstr>Multiple Regression</vt:lpstr>
      <vt:lpstr>Random Numbers</vt:lpstr>
      <vt:lpstr>My_Data</vt:lpstr>
      <vt:lpstr>Sample1</vt:lpstr>
      <vt:lpstr>Sample2</vt:lpstr>
    </vt:vector>
  </TitlesOfParts>
  <Company>SAU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Jerz</dc:creator>
  <cp:lastModifiedBy>Rick Jerz</cp:lastModifiedBy>
  <cp:lastPrinted>2008-09-29T19:41:21Z</cp:lastPrinted>
  <dcterms:created xsi:type="dcterms:W3CDTF">2008-08-18T16:31:26Z</dcterms:created>
  <dcterms:modified xsi:type="dcterms:W3CDTF">2009-03-17T16:53:43Z</dcterms:modified>
</cp:coreProperties>
</file>